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8625" windowWidth="7380" windowHeight="6255" activeTab="0"/>
  </bookViews>
  <sheets>
    <sheet name="Menu" sheetId="1" r:id="rId1"/>
    <sheet name="TotalUtilityCurves" sheetId="2" r:id="rId2"/>
    <sheet name="UtilityFunction" sheetId="3" r:id="rId3"/>
    <sheet name="Utility_TwoViews" sheetId="4" r:id="rId4"/>
    <sheet name="UtilityMaximization" sheetId="5" r:id="rId5"/>
    <sheet name="Income Change" sheetId="6" r:id="rId6"/>
    <sheet name="Changes no_compensation" sheetId="7" r:id="rId7"/>
    <sheet name="Price Change no Compensation" sheetId="8" r:id="rId8"/>
    <sheet name="Changes w_compensation" sheetId="9" r:id="rId9"/>
    <sheet name="DemandCurves" sheetId="10" r:id="rId10"/>
  </sheets>
  <definedNames>
    <definedName name="solver_adj" localSheetId="6" hidden="1">'Changes no_compensation'!$H$3:$H$4</definedName>
    <definedName name="solver_adj" localSheetId="8" hidden="1">'Changes w_compensation'!$I$4:$I$5</definedName>
    <definedName name="solver_adj" localSheetId="5" hidden="1">'Income Change'!$M$24:$M$25</definedName>
    <definedName name="solver_adj" localSheetId="7" hidden="1">'Price Change no Compensation'!$M$24:$M$25</definedName>
    <definedName name="solver_adj" localSheetId="4" hidden="1">'UtilityMaximization'!$E$4:$E$5</definedName>
    <definedName name="solver_cvg" localSheetId="6" hidden="1">0.001</definedName>
    <definedName name="solver_cvg" localSheetId="8" hidden="1">0.001</definedName>
    <definedName name="solver_cvg" localSheetId="5" hidden="1">0.001</definedName>
    <definedName name="solver_cvg" localSheetId="7" hidden="1">0.001</definedName>
    <definedName name="solver_cvg" localSheetId="3" hidden="1">0.0001</definedName>
    <definedName name="solver_cvg" localSheetId="4" hidden="1">0.001</definedName>
    <definedName name="solver_drv" localSheetId="6" hidden="1">1</definedName>
    <definedName name="solver_drv" localSheetId="8" hidden="1">1</definedName>
    <definedName name="solver_drv" localSheetId="5" hidden="1">1</definedName>
    <definedName name="solver_drv" localSheetId="7" hidden="1">1</definedName>
    <definedName name="solver_drv" localSheetId="3" hidden="1">1</definedName>
    <definedName name="solver_drv" localSheetId="4" hidden="1">1</definedName>
    <definedName name="solver_est" localSheetId="6" hidden="1">1</definedName>
    <definedName name="solver_est" localSheetId="8" hidden="1">1</definedName>
    <definedName name="solver_est" localSheetId="5" hidden="1">1</definedName>
    <definedName name="solver_est" localSheetId="7" hidden="1">1</definedName>
    <definedName name="solver_est" localSheetId="3" hidden="1">1</definedName>
    <definedName name="solver_est" localSheetId="4" hidden="1">1</definedName>
    <definedName name="solver_itr" localSheetId="6" hidden="1">100</definedName>
    <definedName name="solver_itr" localSheetId="8" hidden="1">100</definedName>
    <definedName name="solver_itr" localSheetId="5" hidden="1">100</definedName>
    <definedName name="solver_itr" localSheetId="7" hidden="1">100</definedName>
    <definedName name="solver_itr" localSheetId="3" hidden="1">100</definedName>
    <definedName name="solver_itr" localSheetId="4" hidden="1">100</definedName>
    <definedName name="solver_lhs1" localSheetId="6" hidden="1">'Changes no_compensation'!$H$4</definedName>
    <definedName name="solver_lhs1" localSheetId="8" hidden="1">'Changes w_compensation'!$I$5</definedName>
    <definedName name="solver_lhs1" localSheetId="5" hidden="1">'Income Change'!$M$25</definedName>
    <definedName name="solver_lhs1" localSheetId="7" hidden="1">'Price Change no Compensation'!$M$25</definedName>
    <definedName name="solver_lhs1" localSheetId="4" hidden="1">'UtilityMaximization'!$E$5</definedName>
    <definedName name="solver_lhs2" localSheetId="6" hidden="1">'Changes no_compensation'!$H$3</definedName>
    <definedName name="solver_lhs2" localSheetId="8" hidden="1">'Changes w_compensation'!$I$4</definedName>
    <definedName name="solver_lhs2" localSheetId="5" hidden="1">'Income Change'!$M$24</definedName>
    <definedName name="solver_lhs2" localSheetId="7" hidden="1">'Price Change no Compensation'!$M$24</definedName>
    <definedName name="solver_lhs2" localSheetId="4" hidden="1">'UtilityMaximization'!$E$4</definedName>
    <definedName name="solver_lhs3" localSheetId="6" hidden="1">'Changes no_compensation'!$H$4</definedName>
    <definedName name="solver_lhs3" localSheetId="8" hidden="1">'Changes w_compensation'!$I$6</definedName>
    <definedName name="solver_lhs3" localSheetId="5" hidden="1">'Income Change'!$M$25</definedName>
    <definedName name="solver_lhs3" localSheetId="7" hidden="1">'Price Change no Compensation'!$M$25</definedName>
    <definedName name="solver_lhs3" localSheetId="4" hidden="1">'UtilityMaximization'!$E$5</definedName>
    <definedName name="solver_lin" localSheetId="6" hidden="1">2</definedName>
    <definedName name="solver_lin" localSheetId="8" hidden="1">2</definedName>
    <definedName name="solver_lin" localSheetId="5" hidden="1">2</definedName>
    <definedName name="solver_lin" localSheetId="7" hidden="1">2</definedName>
    <definedName name="solver_lin" localSheetId="3" hidden="1">2</definedName>
    <definedName name="solver_lin" localSheetId="4" hidden="1">2</definedName>
    <definedName name="solver_neg" localSheetId="6" hidden="1">2</definedName>
    <definedName name="solver_neg" localSheetId="8" hidden="1">2</definedName>
    <definedName name="solver_neg" localSheetId="5" hidden="1">2</definedName>
    <definedName name="solver_neg" localSheetId="7" hidden="1">2</definedName>
    <definedName name="solver_neg" localSheetId="3" hidden="1">2</definedName>
    <definedName name="solver_neg" localSheetId="4" hidden="1">2</definedName>
    <definedName name="solver_num" localSheetId="6" hidden="1">3</definedName>
    <definedName name="solver_num" localSheetId="8" hidden="1">3</definedName>
    <definedName name="solver_num" localSheetId="5" hidden="1">3</definedName>
    <definedName name="solver_num" localSheetId="7" hidden="1">3</definedName>
    <definedName name="solver_num" localSheetId="3" hidden="1">0</definedName>
    <definedName name="solver_num" localSheetId="4" hidden="1">3</definedName>
    <definedName name="solver_nwt" localSheetId="6" hidden="1">1</definedName>
    <definedName name="solver_nwt" localSheetId="8" hidden="1">1</definedName>
    <definedName name="solver_nwt" localSheetId="5" hidden="1">1</definedName>
    <definedName name="solver_nwt" localSheetId="7" hidden="1">1</definedName>
    <definedName name="solver_nwt" localSheetId="3" hidden="1">1</definedName>
    <definedName name="solver_nwt" localSheetId="4" hidden="1">1</definedName>
    <definedName name="solver_opt" localSheetId="6" hidden="1">'Changes no_compensation'!$H$5</definedName>
    <definedName name="solver_opt" localSheetId="8" hidden="1">'Changes w_compensation'!$I$3</definedName>
    <definedName name="solver_opt" localSheetId="5" hidden="1">'Income Change'!$M$26</definedName>
    <definedName name="solver_opt" localSheetId="7" hidden="1">'Price Change no Compensation'!$M$26</definedName>
    <definedName name="solver_opt" localSheetId="3" hidden="1">'Utility_TwoViews'!$A$1</definedName>
    <definedName name="solver_opt" localSheetId="4" hidden="1">'UtilityMaximization'!$E$6</definedName>
    <definedName name="solver_pre" localSheetId="6" hidden="1">0.000001</definedName>
    <definedName name="solver_pre" localSheetId="8" hidden="1">0.000001</definedName>
    <definedName name="solver_pre" localSheetId="5" hidden="1">0.000001</definedName>
    <definedName name="solver_pre" localSheetId="7" hidden="1">0.000001</definedName>
    <definedName name="solver_pre" localSheetId="3" hidden="1">0.000001</definedName>
    <definedName name="solver_pre" localSheetId="4" hidden="1">0.000001</definedName>
    <definedName name="solver_rel1" localSheetId="6" hidden="1">2</definedName>
    <definedName name="solver_rel1" localSheetId="8" hidden="1">3</definedName>
    <definedName name="solver_rel1" localSheetId="5" hidden="1">2</definedName>
    <definedName name="solver_rel1" localSheetId="7" hidden="1">2</definedName>
    <definedName name="solver_rel1" localSheetId="4" hidden="1">2</definedName>
    <definedName name="solver_rel2" localSheetId="6" hidden="1">3</definedName>
    <definedName name="solver_rel2" localSheetId="8" hidden="1">3</definedName>
    <definedName name="solver_rel2" localSheetId="5" hidden="1">3</definedName>
    <definedName name="solver_rel2" localSheetId="7" hidden="1">3</definedName>
    <definedName name="solver_rel2" localSheetId="4" hidden="1">3</definedName>
    <definedName name="solver_rel3" localSheetId="6" hidden="1">3</definedName>
    <definedName name="solver_rel3" localSheetId="8" hidden="1">2</definedName>
    <definedName name="solver_rel3" localSheetId="5" hidden="1">3</definedName>
    <definedName name="solver_rel3" localSheetId="7" hidden="1">3</definedName>
    <definedName name="solver_rel3" localSheetId="4" hidden="1">3</definedName>
    <definedName name="solver_rhs1" localSheetId="6" hidden="1">'Changes no_compensation'!$H$2-'Changes no_compensation'!$H$1*'Changes no_compensation'!$H$3</definedName>
    <definedName name="solver_rhs1" localSheetId="8" hidden="1">0.01</definedName>
    <definedName name="solver_rhs1" localSheetId="5" hidden="1">'Income Change'!$M$23-'Income Change'!$M$22*'Income Change'!$M$24</definedName>
    <definedName name="solver_rhs1" localSheetId="7" hidden="1">'Price Change no Compensation'!$M$23-'Price Change no Compensation'!$M$22*'Price Change no Compensation'!$M$24</definedName>
    <definedName name="solver_rhs1" localSheetId="4" hidden="1">'UtilityMaximization'!$E$3-'UtilityMaximization'!$E$2*'UtilityMaximization'!$E$4</definedName>
    <definedName name="solver_rhs2" localSheetId="6" hidden="1">0.01</definedName>
    <definedName name="solver_rhs2" localSheetId="8" hidden="1">0.01</definedName>
    <definedName name="solver_rhs2" localSheetId="5" hidden="1">0.01</definedName>
    <definedName name="solver_rhs2" localSheetId="7" hidden="1">0.01</definedName>
    <definedName name="solver_rhs2" localSheetId="4" hidden="1">0</definedName>
    <definedName name="solver_rhs3" localSheetId="6" hidden="1">0.01</definedName>
    <definedName name="solver_rhs3" localSheetId="8" hidden="1">'Changes w_compensation'!$H$6</definedName>
    <definedName name="solver_rhs3" localSheetId="5" hidden="1">0.01</definedName>
    <definedName name="solver_rhs3" localSheetId="7" hidden="1">0.01</definedName>
    <definedName name="solver_rhs3" localSheetId="4" hidden="1">0</definedName>
    <definedName name="solver_scl" localSheetId="6" hidden="1">2</definedName>
    <definedName name="solver_scl" localSheetId="8" hidden="1">2</definedName>
    <definedName name="solver_scl" localSheetId="5" hidden="1">2</definedName>
    <definedName name="solver_scl" localSheetId="7" hidden="1">2</definedName>
    <definedName name="solver_scl" localSheetId="3" hidden="1">2</definedName>
    <definedName name="solver_scl" localSheetId="4" hidden="1">2</definedName>
    <definedName name="solver_sho" localSheetId="6" hidden="1">2</definedName>
    <definedName name="solver_sho" localSheetId="8" hidden="1">2</definedName>
    <definedName name="solver_sho" localSheetId="5" hidden="1">2</definedName>
    <definedName name="solver_sho" localSheetId="7" hidden="1">2</definedName>
    <definedName name="solver_sho" localSheetId="3" hidden="1">2</definedName>
    <definedName name="solver_sho" localSheetId="4" hidden="1">2</definedName>
    <definedName name="solver_tim" localSheetId="6" hidden="1">100</definedName>
    <definedName name="solver_tim" localSheetId="8" hidden="1">100</definedName>
    <definedName name="solver_tim" localSheetId="5" hidden="1">100</definedName>
    <definedName name="solver_tim" localSheetId="7" hidden="1">100</definedName>
    <definedName name="solver_tim" localSheetId="3" hidden="1">100</definedName>
    <definedName name="solver_tim" localSheetId="4" hidden="1">100</definedName>
    <definedName name="solver_tol" localSheetId="6" hidden="1">0.05</definedName>
    <definedName name="solver_tol" localSheetId="8" hidden="1">0.05</definedName>
    <definedName name="solver_tol" localSheetId="5" hidden="1">0.05</definedName>
    <definedName name="solver_tol" localSheetId="7" hidden="1">0.05</definedName>
    <definedName name="solver_tol" localSheetId="3" hidden="1">0.05</definedName>
    <definedName name="solver_tol" localSheetId="4" hidden="1">0.05</definedName>
    <definedName name="solver_typ" localSheetId="6" hidden="1">1</definedName>
    <definedName name="solver_typ" localSheetId="8" hidden="1">2</definedName>
    <definedName name="solver_typ" localSheetId="5" hidden="1">1</definedName>
    <definedName name="solver_typ" localSheetId="7" hidden="1">1</definedName>
    <definedName name="solver_typ" localSheetId="3" hidden="1">1</definedName>
    <definedName name="solver_typ" localSheetId="4" hidden="1">1</definedName>
    <definedName name="solver_val" localSheetId="6" hidden="1">50</definedName>
    <definedName name="solver_val" localSheetId="8" hidden="1">50</definedName>
    <definedName name="solver_val" localSheetId="5" hidden="1">50</definedName>
    <definedName name="solver_val" localSheetId="7" hidden="1">50</definedName>
    <definedName name="solver_val" localSheetId="3" hidden="1">0</definedName>
    <definedName name="solver_val" localSheetId="4" hidden="1">50</definedName>
  </definedNames>
  <calcPr fullCalcOnLoad="1"/>
</workbook>
</file>

<file path=xl/comments1.xml><?xml version="1.0" encoding="utf-8"?>
<comments xmlns="http://schemas.openxmlformats.org/spreadsheetml/2006/main">
  <authors>
    <author>R.M.C.</author>
  </authors>
  <commentList>
    <comment ref="B12" authorId="0">
      <text>
        <r>
          <rPr>
            <b/>
            <sz val="8"/>
            <rFont val="Tahoma"/>
            <family val="0"/>
          </rPr>
          <t xml:space="preserve">
Shows the total utility at each X, given a value of Y.
</t>
        </r>
      </text>
    </comment>
    <comment ref="D12" authorId="0">
      <text>
        <r>
          <rPr>
            <b/>
            <sz val="8"/>
            <rFont val="Tahoma"/>
            <family val="0"/>
          </rPr>
          <t xml:space="preserve">
Shows a "utility hill" with utility values for various X/Y pairs.</t>
        </r>
      </text>
    </comment>
    <comment ref="D17" authorId="0">
      <text>
        <r>
          <rPr>
            <b/>
            <sz val="8"/>
            <rFont val="Tahoma"/>
            <family val="0"/>
          </rPr>
          <t xml:space="preserve">
Shows the effect of a price change absent a compensating income change.</t>
        </r>
      </text>
    </comment>
    <comment ref="H17" authorId="0">
      <text>
        <r>
          <rPr>
            <b/>
            <sz val="8"/>
            <rFont val="Tahoma"/>
            <family val="0"/>
          </rPr>
          <t xml:space="preserve">
Shows how compensated and uncompensated demand curves are derived.</t>
        </r>
      </text>
    </comment>
    <comment ref="F17" authorId="0">
      <text>
        <r>
          <rPr>
            <b/>
            <sz val="8"/>
            <rFont val="Tahoma"/>
            <family val="0"/>
          </rPr>
          <t xml:space="preserve">
Shows the effect of a changed price coupled with a compensating change in income.</t>
        </r>
      </text>
    </comment>
    <comment ref="F12" authorId="0">
      <text>
        <r>
          <rPr>
            <b/>
            <sz val="8"/>
            <rFont val="Tahoma"/>
            <family val="0"/>
          </rPr>
          <t xml:space="preserve">
Combines "total utility as a function of X" view with a view that shows X/Y pairs yielding a specified level of utility.</t>
        </r>
      </text>
    </comment>
    <comment ref="H12" authorId="0">
      <text>
        <r>
          <rPr>
            <b/>
            <sz val="8"/>
            <rFont val="Tahoma"/>
            <family val="0"/>
          </rPr>
          <t xml:space="preserve">
Shows use of Solver to determine maximum utility given money income and product prices.</t>
        </r>
      </text>
    </comment>
    <comment ref="B17" authorId="0">
      <text>
        <r>
          <rPr>
            <b/>
            <sz val="8"/>
            <rFont val="Tahoma"/>
            <family val="0"/>
          </rPr>
          <t xml:space="preserve">
Shows the effect of a money income change holding the relative price level constant.</t>
        </r>
      </text>
    </comment>
  </commentList>
</comments>
</file>

<file path=xl/comments10.xml><?xml version="1.0" encoding="utf-8"?>
<comments xmlns="http://schemas.openxmlformats.org/spreadsheetml/2006/main">
  <authors>
    <author>Wilson Mixon</author>
  </authors>
  <commentList>
    <comment ref="AC3" authorId="0">
      <text>
        <r>
          <rPr>
            <b/>
            <sz val="12"/>
            <rFont val="Tahoma"/>
            <family val="2"/>
          </rPr>
          <t xml:space="preserve">
The slope of the indifference curve, dY/dX = (Y/X)</t>
        </r>
        <r>
          <rPr>
            <b/>
            <vertAlign val="superscript"/>
            <sz val="12"/>
            <rFont val="Tahoma"/>
            <family val="2"/>
          </rPr>
          <t>1+r</t>
        </r>
        <r>
          <rPr>
            <b/>
            <sz val="12"/>
            <rFont val="Tahoma"/>
            <family val="2"/>
          </rPr>
          <t>*a/(1-a) must equal the price of X. (Define Y such that P</t>
        </r>
        <r>
          <rPr>
            <b/>
            <vertAlign val="subscript"/>
            <sz val="12"/>
            <rFont val="Tahoma"/>
            <family val="2"/>
          </rPr>
          <t>Y</t>
        </r>
        <r>
          <rPr>
            <b/>
            <sz val="12"/>
            <rFont val="Tahoma"/>
            <family val="2"/>
          </rPr>
          <t xml:space="preserve"> = 1, so P</t>
        </r>
        <r>
          <rPr>
            <b/>
            <vertAlign val="subscript"/>
            <sz val="12"/>
            <rFont val="Tahoma"/>
            <family val="2"/>
          </rPr>
          <t>X</t>
        </r>
        <r>
          <rPr>
            <b/>
            <sz val="12"/>
            <rFont val="Tahoma"/>
            <family val="2"/>
          </rPr>
          <t>/P</t>
        </r>
        <r>
          <rPr>
            <b/>
            <vertAlign val="subscript"/>
            <sz val="12"/>
            <rFont val="Tahoma"/>
            <family val="2"/>
          </rPr>
          <t>Y</t>
        </r>
        <r>
          <rPr>
            <b/>
            <sz val="12"/>
            <rFont val="Tahoma"/>
            <family val="2"/>
          </rPr>
          <t xml:space="preserve"> = P</t>
        </r>
        <r>
          <rPr>
            <b/>
            <vertAlign val="subscript"/>
            <sz val="12"/>
            <rFont val="Tahoma"/>
            <family val="2"/>
          </rPr>
          <t>X</t>
        </r>
        <r>
          <rPr>
            <b/>
            <sz val="12"/>
            <rFont val="Tahoma"/>
            <family val="2"/>
          </rPr>
          <t xml:space="preserve"> = P.)
Y = [P(1-a)/a]</t>
        </r>
        <r>
          <rPr>
            <b/>
            <vertAlign val="superscript"/>
            <sz val="12"/>
            <rFont val="Tahoma"/>
            <family val="2"/>
          </rPr>
          <t>1/(1+r)</t>
        </r>
        <r>
          <rPr>
            <b/>
            <sz val="12"/>
            <rFont val="Tahoma"/>
            <family val="2"/>
          </rPr>
          <t>*X.
Substitute this into the budget line, M = PX + Y, and solve for X:
X = M/{P + [P(1-a)/a]</t>
        </r>
        <r>
          <rPr>
            <b/>
            <vertAlign val="superscript"/>
            <sz val="12"/>
            <rFont val="Tahoma"/>
            <family val="2"/>
          </rPr>
          <t>1/(1+r)</t>
        </r>
        <r>
          <rPr>
            <b/>
            <sz val="12"/>
            <rFont val="Tahoma"/>
            <family val="2"/>
          </rPr>
          <t>}.
This is the equation for the uncompensated demand curve.</t>
        </r>
      </text>
    </comment>
    <comment ref="AD3" authorId="0">
      <text>
        <r>
          <rPr>
            <b/>
            <sz val="12"/>
            <rFont val="Tahoma"/>
            <family val="2"/>
          </rPr>
          <t xml:space="preserve">
The slope of the indifference curve, dY/dX = (Y/X)</t>
        </r>
        <r>
          <rPr>
            <b/>
            <vertAlign val="superscript"/>
            <sz val="12"/>
            <rFont val="Tahoma"/>
            <family val="2"/>
          </rPr>
          <t>1+r</t>
        </r>
        <r>
          <rPr>
            <b/>
            <sz val="12"/>
            <rFont val="Tahoma"/>
            <family val="2"/>
          </rPr>
          <t>*a/(1-a) must equal the price of X. (Define Y such that P</t>
        </r>
        <r>
          <rPr>
            <b/>
            <vertAlign val="subscript"/>
            <sz val="12"/>
            <rFont val="Tahoma"/>
            <family val="2"/>
          </rPr>
          <t>Y</t>
        </r>
        <r>
          <rPr>
            <b/>
            <sz val="12"/>
            <rFont val="Tahoma"/>
            <family val="2"/>
          </rPr>
          <t xml:space="preserve"> = 1, so P</t>
        </r>
        <r>
          <rPr>
            <b/>
            <vertAlign val="subscript"/>
            <sz val="12"/>
            <rFont val="Tahoma"/>
            <family val="2"/>
          </rPr>
          <t>X</t>
        </r>
        <r>
          <rPr>
            <b/>
            <sz val="12"/>
            <rFont val="Tahoma"/>
            <family val="2"/>
          </rPr>
          <t>/P</t>
        </r>
        <r>
          <rPr>
            <b/>
            <vertAlign val="subscript"/>
            <sz val="12"/>
            <rFont val="Tahoma"/>
            <family val="2"/>
          </rPr>
          <t>Y</t>
        </r>
        <r>
          <rPr>
            <b/>
            <sz val="12"/>
            <rFont val="Tahoma"/>
            <family val="2"/>
          </rPr>
          <t xml:space="preserve"> = P</t>
        </r>
        <r>
          <rPr>
            <b/>
            <vertAlign val="subscript"/>
            <sz val="12"/>
            <rFont val="Tahoma"/>
            <family val="2"/>
          </rPr>
          <t>X</t>
        </r>
        <r>
          <rPr>
            <b/>
            <sz val="12"/>
            <rFont val="Tahoma"/>
            <family val="2"/>
          </rPr>
          <t xml:space="preserve"> = P.)
Y = [P(1-a)/a]</t>
        </r>
        <r>
          <rPr>
            <b/>
            <vertAlign val="superscript"/>
            <sz val="12"/>
            <rFont val="Tahoma"/>
            <family val="2"/>
          </rPr>
          <t>1/(1+r)</t>
        </r>
        <r>
          <rPr>
            <b/>
            <sz val="12"/>
            <rFont val="Tahoma"/>
            <family val="2"/>
          </rPr>
          <t>*X.
Substitute this into the utility function:
U* = A(aX</t>
        </r>
        <r>
          <rPr>
            <b/>
            <vertAlign val="superscript"/>
            <sz val="12"/>
            <rFont val="Tahoma"/>
            <family val="2"/>
          </rPr>
          <t xml:space="preserve">-r </t>
        </r>
        <r>
          <rPr>
            <b/>
            <sz val="12"/>
            <rFont val="Tahoma"/>
            <family val="2"/>
          </rPr>
          <t>+ (1-a){[P(1-a)/a]</t>
        </r>
        <r>
          <rPr>
            <b/>
            <vertAlign val="superscript"/>
            <sz val="12"/>
            <rFont val="Tahoma"/>
            <family val="2"/>
          </rPr>
          <t>1/1+r</t>
        </r>
        <r>
          <rPr>
            <b/>
            <sz val="12"/>
            <rFont val="Tahoma"/>
            <family val="2"/>
          </rPr>
          <t>X}</t>
        </r>
        <r>
          <rPr>
            <b/>
            <vertAlign val="superscript"/>
            <sz val="12"/>
            <rFont val="Tahoma"/>
            <family val="2"/>
          </rPr>
          <t>-r</t>
        </r>
        <r>
          <rPr>
            <b/>
            <sz val="12"/>
            <rFont val="Tahoma"/>
            <family val="2"/>
          </rPr>
          <t>)</t>
        </r>
        <r>
          <rPr>
            <b/>
            <vertAlign val="superscript"/>
            <sz val="12"/>
            <rFont val="Tahoma"/>
            <family val="2"/>
          </rPr>
          <t>-1/r</t>
        </r>
        <r>
          <rPr>
            <b/>
            <sz val="12"/>
            <rFont val="Tahoma"/>
            <family val="2"/>
          </rPr>
          <t xml:space="preserve">
X = (U*/A)</t>
        </r>
        <r>
          <rPr>
            <b/>
            <vertAlign val="superscript"/>
            <sz val="12"/>
            <rFont val="Tahoma"/>
            <family val="2"/>
          </rPr>
          <t>-1/r</t>
        </r>
        <r>
          <rPr>
            <b/>
            <sz val="12"/>
            <rFont val="Tahoma"/>
            <family val="2"/>
          </rPr>
          <t>/(a + (1-a)[P(1-a)/a]</t>
        </r>
        <r>
          <rPr>
            <b/>
            <vertAlign val="superscript"/>
            <sz val="12"/>
            <rFont val="Tahoma"/>
            <family val="2"/>
          </rPr>
          <t>1/1+r)</t>
        </r>
        <r>
          <rPr>
            <b/>
            <sz val="12"/>
            <rFont val="Tahoma"/>
            <family val="2"/>
          </rPr>
          <t>)</t>
        </r>
      </text>
    </comment>
    <comment ref="B2" authorId="0">
      <text>
        <r>
          <rPr>
            <b/>
            <sz val="8"/>
            <rFont val="Tahoma"/>
            <family val="0"/>
          </rPr>
          <t xml:space="preserve">
Axes are reversed so that demand curves can be stated with quantities as functions of price.</t>
        </r>
      </text>
    </comment>
    <comment ref="E10" authorId="0">
      <text>
        <r>
          <rPr>
            <b/>
            <sz val="8"/>
            <rFont val="Tahoma"/>
            <family val="0"/>
          </rPr>
          <t xml:space="preserve">
Uses Simpson's rule to approximate uncompensated change in CS.</t>
        </r>
      </text>
    </comment>
    <comment ref="W52" authorId="0">
      <text>
        <r>
          <rPr>
            <sz val="8"/>
            <rFont val="Tahoma"/>
            <family val="0"/>
          </rPr>
          <t xml:space="preserve">
Consumer surplus using Simpson's rule. This rule, based on a parabolic approximation, is somewhat more accurate than the trapezoidal rule.</t>
        </r>
      </text>
    </comment>
    <comment ref="W55" authorId="0">
      <text>
        <r>
          <rPr>
            <sz val="8"/>
            <rFont val="Tahoma"/>
            <family val="0"/>
          </rPr>
          <t xml:space="preserve">
These two values bound the true value of the integral.</t>
        </r>
      </text>
    </comment>
    <comment ref="W56" authorId="0">
      <text>
        <r>
          <rPr>
            <sz val="8"/>
            <rFont val="Tahoma"/>
            <family val="0"/>
          </rPr>
          <t xml:space="preserve">
These two values bound the true value of the integral.</t>
        </r>
      </text>
    </comment>
    <comment ref="W54" authorId="0">
      <text>
        <r>
          <rPr>
            <sz val="8"/>
            <rFont val="Tahoma"/>
            <family val="0"/>
          </rPr>
          <t xml:space="preserve">
The trapezoid rule typically gives virtually identical approximations to those using Simpson's rule. It is relatively easy to determine the bounds within which the actual value must lie using this rule, though the bounds may be large. Evaluating the error using Simpson's rule is quite difficult.</t>
        </r>
      </text>
    </comment>
  </commentList>
</comments>
</file>

<file path=xl/comments2.xml><?xml version="1.0" encoding="utf-8"?>
<comments xmlns="http://schemas.openxmlformats.org/spreadsheetml/2006/main">
  <authors>
    <author>Wilson Mixon</author>
  </authors>
  <commentList>
    <comment ref="D29" authorId="0">
      <text>
        <r>
          <rPr>
            <b/>
            <sz val="11"/>
            <rFont val="Tahoma"/>
            <family val="2"/>
          </rPr>
          <t xml:space="preserve">
The utility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 ref="F28" authorId="0">
      <text>
        <r>
          <rPr>
            <b/>
            <sz val="8"/>
            <rFont val="Tahoma"/>
            <family val="0"/>
          </rPr>
          <t xml:space="preserve">
</t>
        </r>
        <r>
          <rPr>
            <b/>
            <sz val="11"/>
            <rFont val="Tahoma"/>
            <family val="2"/>
          </rPr>
          <t xml:space="preserve">
The values of s are constrained in two ways.
First, the increments are 0.05 so that s = 1.00 is avoided. At this value, the CES function is not defined, but one can demonstrate that when s = 1, the result is the relatively simple Cobb-Douglas function: U = AX</t>
        </r>
        <r>
          <rPr>
            <b/>
            <vertAlign val="superscript"/>
            <sz val="11"/>
            <rFont val="Tahoma"/>
            <family val="2"/>
          </rPr>
          <t>a</t>
        </r>
        <r>
          <rPr>
            <b/>
            <sz val="11"/>
            <rFont val="Tahoma"/>
            <family val="2"/>
          </rPr>
          <t>Y</t>
        </r>
        <r>
          <rPr>
            <b/>
            <vertAlign val="superscript"/>
            <sz val="11"/>
            <rFont val="Tahoma"/>
            <family val="2"/>
          </rPr>
          <t>1-a</t>
        </r>
        <r>
          <rPr>
            <b/>
            <sz val="11"/>
            <rFont val="Tahoma"/>
            <family val="2"/>
          </rPr>
          <t xml:space="preserve">.
Second, values below 0.81 are not allowed. This is just for display purposes. Smaller values result in a large enough rounding error to cause difficulties.
</t>
        </r>
        <r>
          <rPr>
            <b/>
            <sz val="8"/>
            <rFont val="Tahoma"/>
            <family val="0"/>
          </rPr>
          <t xml:space="preserve">
</t>
        </r>
      </text>
    </comment>
  </commentList>
</comments>
</file>

<file path=xl/comments3.xml><?xml version="1.0" encoding="utf-8"?>
<comments xmlns="http://schemas.openxmlformats.org/spreadsheetml/2006/main">
  <authors>
    <author>Wilson Mixon</author>
  </authors>
  <commentList>
    <comment ref="B10" authorId="0">
      <text>
        <r>
          <rPr>
            <b/>
            <sz val="8"/>
            <rFont val="Tahoma"/>
            <family val="0"/>
          </rPr>
          <t xml:space="preserve">
The values on the X and Y axes do not show values of X and Y. Rather, they show observation numbers. The values 15 and 8, for example show the height of the utility function given the values of the 15th value of X and the 8th value of Y. 
The figure is based on the table at the right, which calculates values of utility for 11 values of X and 21 values of Y. 
With the initial maximum values, 10 and 20, the values of X and Y are one less than the observation numbers.</t>
        </r>
      </text>
    </comment>
  </commentList>
</comments>
</file>

<file path=xl/comments4.xml><?xml version="1.0" encoding="utf-8"?>
<comments xmlns="http://schemas.openxmlformats.org/spreadsheetml/2006/main">
  <authors>
    <author>Wilson Mixon</author>
  </authors>
  <commentList>
    <comment ref="A3" authorId="0">
      <text>
        <r>
          <rPr>
            <b/>
            <sz val="8"/>
            <rFont val="Tahoma"/>
            <family val="0"/>
          </rPr>
          <t xml:space="preserve">
When s &lt; 1, positive quantities of both goods are required.</t>
        </r>
      </text>
    </comment>
    <comment ref="E2" authorId="0">
      <text>
        <r>
          <rPr>
            <b/>
            <sz val="8"/>
            <rFont val="Tahoma"/>
            <family val="0"/>
          </rPr>
          <t xml:space="preserve">
</t>
        </r>
        <r>
          <rPr>
            <b/>
            <sz val="11"/>
            <rFont val="Tahoma"/>
            <family val="2"/>
          </rPr>
          <t>For the utility function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the indifference curve's formula is
Y = ((U*/A)</t>
        </r>
        <r>
          <rPr>
            <b/>
            <vertAlign val="superscript"/>
            <sz val="11"/>
            <rFont val="Tahoma"/>
            <family val="2"/>
          </rPr>
          <t>-r</t>
        </r>
        <r>
          <rPr>
            <b/>
            <sz val="11"/>
            <rFont val="Tahoma"/>
            <family val="2"/>
          </rPr>
          <t xml:space="preserve"> - aX</t>
        </r>
        <r>
          <rPr>
            <b/>
            <vertAlign val="superscript"/>
            <sz val="11"/>
            <rFont val="Tahoma"/>
            <family val="2"/>
          </rPr>
          <t>-r</t>
        </r>
        <r>
          <rPr>
            <b/>
            <sz val="11"/>
            <rFont val="Tahoma"/>
            <family val="2"/>
          </rPr>
          <t>)/(1 - a))</t>
        </r>
        <r>
          <rPr>
            <b/>
            <vertAlign val="superscript"/>
            <sz val="11"/>
            <rFont val="Tahoma"/>
            <family val="2"/>
          </rPr>
          <t>-(1/r)</t>
        </r>
        <r>
          <rPr>
            <b/>
            <sz val="11"/>
            <rFont val="Tahoma"/>
            <family val="2"/>
          </rPr>
          <t xml:space="preserve">.
U* is the specified utility level.
</t>
        </r>
      </text>
    </comment>
    <comment ref="G4" authorId="0">
      <text>
        <r>
          <rPr>
            <b/>
            <sz val="11"/>
            <rFont val="Tahoma"/>
            <family val="2"/>
          </rPr>
          <t xml:space="preserve">
The utillity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List>
</comments>
</file>

<file path=xl/comments5.xml><?xml version="1.0" encoding="utf-8"?>
<comments xmlns="http://schemas.openxmlformats.org/spreadsheetml/2006/main">
  <authors>
    <author>Wilson Mixon</author>
  </authors>
  <commentList>
    <comment ref="C2" authorId="0">
      <text>
        <r>
          <rPr>
            <b/>
            <sz val="8"/>
            <rFont val="Tahoma"/>
            <family val="0"/>
          </rPr>
          <t xml:space="preserve">
The solution to the Solver problem yields the U* for this column. The X,Y pairs define the indifference curve consistent with the maximum U given the budget constraint.</t>
        </r>
      </text>
    </comment>
    <comment ref="H4" authorId="0">
      <text>
        <r>
          <rPr>
            <b/>
            <sz val="8"/>
            <rFont val="Tahoma"/>
            <family val="0"/>
          </rPr>
          <t xml:space="preserve">
r = (1 - s)/s
</t>
        </r>
      </text>
    </comment>
    <comment ref="C3" authorId="0">
      <text>
        <r>
          <rPr>
            <b/>
            <sz val="8"/>
            <rFont val="Tahoma"/>
            <family val="0"/>
          </rPr>
          <t xml:space="preserve">
For some values of s, this value is not defined, so the cell is left empty.</t>
        </r>
      </text>
    </comment>
    <comment ref="D2" authorId="0">
      <text>
        <r>
          <rPr>
            <b/>
            <sz val="8"/>
            <rFont val="Tahoma"/>
            <family val="0"/>
          </rPr>
          <t xml:space="preserve">
This value is specified and remains constant throughout the workbook.</t>
        </r>
      </text>
    </comment>
    <comment ref="D3" authorId="0">
      <text>
        <r>
          <rPr>
            <b/>
            <sz val="8"/>
            <rFont val="Tahoma"/>
            <family val="0"/>
          </rPr>
          <t xml:space="preserve">
This value is specified and remains constant throughout the workbook.</t>
        </r>
      </text>
    </comment>
    <comment ref="D6" authorId="0">
      <text>
        <r>
          <rPr>
            <b/>
            <sz val="8"/>
            <rFont val="Tahoma"/>
            <family val="0"/>
          </rPr>
          <t xml:space="preserve">
This is the value that Solver attempts to maximize.</t>
        </r>
      </text>
    </comment>
    <comment ref="D4" authorId="0">
      <text>
        <r>
          <rPr>
            <b/>
            <sz val="8"/>
            <rFont val="Tahoma"/>
            <family val="0"/>
          </rPr>
          <t xml:space="preserve">
Solver chooses values of X and Y that satisfy the budget constraint, seeking the one combination that yields maximum utility.</t>
        </r>
      </text>
    </comment>
    <comment ref="D5" authorId="0">
      <text>
        <r>
          <rPr>
            <b/>
            <sz val="8"/>
            <rFont val="Tahoma"/>
            <family val="0"/>
          </rPr>
          <t xml:space="preserve">
Solver chooses values of X and Y that satisfy the budget constraint, seeking the one combination that yields maximum utility.</t>
        </r>
      </text>
    </comment>
    <comment ref="B2" authorId="0">
      <text>
        <r>
          <rPr>
            <b/>
            <sz val="8"/>
            <rFont val="Tahoma"/>
            <family val="0"/>
          </rPr>
          <t xml:space="preserve">
Values obey the constraint
M = P</t>
        </r>
        <r>
          <rPr>
            <b/>
            <vertAlign val="subscript"/>
            <sz val="8"/>
            <rFont val="Tahoma"/>
            <family val="2"/>
          </rPr>
          <t>X</t>
        </r>
        <r>
          <rPr>
            <b/>
            <sz val="8"/>
            <rFont val="Tahoma"/>
            <family val="0"/>
          </rPr>
          <t>X + Y or 
Y = M - P</t>
        </r>
        <r>
          <rPr>
            <b/>
            <vertAlign val="subscript"/>
            <sz val="8"/>
            <rFont val="Tahoma"/>
            <family val="2"/>
          </rPr>
          <t>X</t>
        </r>
        <r>
          <rPr>
            <b/>
            <sz val="8"/>
            <rFont val="Tahoma"/>
            <family val="0"/>
          </rPr>
          <t xml:space="preserve">X.
</t>
        </r>
      </text>
    </comment>
    <comment ref="H5" authorId="0">
      <text>
        <r>
          <rPr>
            <b/>
            <sz val="11"/>
            <rFont val="Tahoma"/>
            <family val="2"/>
          </rPr>
          <t xml:space="preserve">
The utillity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List>
</comments>
</file>

<file path=xl/comments6.xml><?xml version="1.0" encoding="utf-8"?>
<comments xmlns="http://schemas.openxmlformats.org/spreadsheetml/2006/main">
  <authors>
    <author>Wilson Mixon</author>
  </authors>
  <commentList>
    <comment ref="M24" authorId="0">
      <text>
        <r>
          <rPr>
            <b/>
            <sz val="8"/>
            <rFont val="Tahoma"/>
            <family val="0"/>
          </rPr>
          <t xml:space="preserve">
Excel's Solver places the value here.</t>
        </r>
      </text>
    </comment>
    <comment ref="M25" authorId="0">
      <text>
        <r>
          <rPr>
            <b/>
            <sz val="8"/>
            <rFont val="Tahoma"/>
            <family val="0"/>
          </rPr>
          <t xml:space="preserve">
Excel's Solver places the value here.</t>
        </r>
      </text>
    </comment>
    <comment ref="F5" authorId="0">
      <text>
        <r>
          <rPr>
            <b/>
            <sz val="8"/>
            <rFont val="Tahoma"/>
            <family val="0"/>
          </rPr>
          <t xml:space="preserve">
The solution to the 
Solver problem yields the U* for this column.</t>
        </r>
      </text>
    </comment>
    <comment ref="H27" authorId="0">
      <text>
        <r>
          <rPr>
            <b/>
            <sz val="11"/>
            <rFont val="Tahoma"/>
            <family val="2"/>
          </rPr>
          <t xml:space="preserve">
The utility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List>
</comments>
</file>

<file path=xl/comments7.xml><?xml version="1.0" encoding="utf-8"?>
<comments xmlns="http://schemas.openxmlformats.org/spreadsheetml/2006/main">
  <authors>
    <author>Wilson Mixon</author>
  </authors>
  <commentList>
    <comment ref="H3" authorId="0">
      <text>
        <r>
          <rPr>
            <b/>
            <sz val="8"/>
            <rFont val="Tahoma"/>
            <family val="0"/>
          </rPr>
          <t xml:space="preserve">
Excel's Solver places the value here.</t>
        </r>
      </text>
    </comment>
    <comment ref="H4" authorId="0">
      <text>
        <r>
          <rPr>
            <b/>
            <sz val="8"/>
            <rFont val="Tahoma"/>
            <family val="0"/>
          </rPr>
          <t xml:space="preserve">
Excel's Solver places the value here.</t>
        </r>
      </text>
    </comment>
    <comment ref="E3" authorId="0">
      <text>
        <r>
          <rPr>
            <b/>
            <sz val="8"/>
            <rFont val="Tahoma"/>
            <family val="0"/>
          </rPr>
          <t xml:space="preserve">
The solution to the 
Solver problem yields the U* for this column.</t>
        </r>
      </text>
    </comment>
    <comment ref="K6" authorId="0">
      <text>
        <r>
          <rPr>
            <b/>
            <sz val="11"/>
            <rFont val="Tahoma"/>
            <family val="2"/>
          </rPr>
          <t xml:space="preserve">
The utillity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List>
</comments>
</file>

<file path=xl/comments8.xml><?xml version="1.0" encoding="utf-8"?>
<comments xmlns="http://schemas.openxmlformats.org/spreadsheetml/2006/main">
  <authors>
    <author>Wilson Mixon</author>
  </authors>
  <commentList>
    <comment ref="M24" authorId="0">
      <text>
        <r>
          <rPr>
            <b/>
            <sz val="8"/>
            <rFont val="Tahoma"/>
            <family val="0"/>
          </rPr>
          <t xml:space="preserve">
Excel's Solver places the value here.</t>
        </r>
      </text>
    </comment>
    <comment ref="M25" authorId="0">
      <text>
        <r>
          <rPr>
            <b/>
            <sz val="8"/>
            <rFont val="Tahoma"/>
            <family val="0"/>
          </rPr>
          <t xml:space="preserve">
Excel's Solver places the value here.</t>
        </r>
      </text>
    </comment>
    <comment ref="F5" authorId="0">
      <text>
        <r>
          <rPr>
            <b/>
            <sz val="8"/>
            <rFont val="Tahoma"/>
            <family val="0"/>
          </rPr>
          <t xml:space="preserve">
The solution to the 
Solver problem yields the U* for this column.</t>
        </r>
      </text>
    </comment>
    <comment ref="H27" authorId="0">
      <text>
        <r>
          <rPr>
            <b/>
            <sz val="11"/>
            <rFont val="Tahoma"/>
            <family val="2"/>
          </rPr>
          <t xml:space="preserve">
The utility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List>
</comments>
</file>

<file path=xl/comments9.xml><?xml version="1.0" encoding="utf-8"?>
<comments xmlns="http://schemas.openxmlformats.org/spreadsheetml/2006/main">
  <authors>
    <author>Wilson Mixon</author>
  </authors>
  <commentList>
    <comment ref="I4" authorId="0">
      <text>
        <r>
          <rPr>
            <b/>
            <sz val="8"/>
            <rFont val="Tahoma"/>
            <family val="0"/>
          </rPr>
          <t xml:space="preserve">
Excel's Solver places the value here.</t>
        </r>
      </text>
    </comment>
    <comment ref="I5" authorId="0">
      <text>
        <r>
          <rPr>
            <b/>
            <sz val="8"/>
            <rFont val="Tahoma"/>
            <family val="0"/>
          </rPr>
          <t xml:space="preserve">
Excel's Solver places the value here.</t>
        </r>
      </text>
    </comment>
    <comment ref="L6" authorId="0">
      <text>
        <r>
          <rPr>
            <b/>
            <sz val="8"/>
            <rFont val="Tahoma"/>
            <family val="0"/>
          </rPr>
          <t xml:space="preserve">
r = (1 - s)/s
</t>
        </r>
      </text>
    </comment>
    <comment ref="L7" authorId="0">
      <text>
        <r>
          <rPr>
            <b/>
            <sz val="11"/>
            <rFont val="Tahoma"/>
            <family val="2"/>
          </rPr>
          <t xml:space="preserve">
The utility function is 
U = A[aX</t>
        </r>
        <r>
          <rPr>
            <b/>
            <vertAlign val="superscript"/>
            <sz val="11"/>
            <rFont val="Tahoma"/>
            <family val="2"/>
          </rPr>
          <t>-r</t>
        </r>
        <r>
          <rPr>
            <b/>
            <sz val="11"/>
            <rFont val="Tahoma"/>
            <family val="2"/>
          </rPr>
          <t xml:space="preserve"> + (1-a)Y</t>
        </r>
        <r>
          <rPr>
            <b/>
            <vertAlign val="superscript"/>
            <sz val="11"/>
            <rFont val="Tahoma"/>
            <family val="2"/>
          </rPr>
          <t>-r</t>
        </r>
        <r>
          <rPr>
            <b/>
            <sz val="11"/>
            <rFont val="Tahoma"/>
            <family val="2"/>
          </rPr>
          <t>]</t>
        </r>
        <r>
          <rPr>
            <b/>
            <vertAlign val="superscript"/>
            <sz val="11"/>
            <rFont val="Tahoma"/>
            <family val="2"/>
          </rPr>
          <t>-1/r</t>
        </r>
        <r>
          <rPr>
            <b/>
            <sz val="11"/>
            <rFont val="Tahoma"/>
            <family val="2"/>
          </rPr>
          <t>.
A must be positive, and a must range from 0 to 1. The exponent r equals (1 -s)/s, where</t>
        </r>
        <r>
          <rPr>
            <b/>
            <u val="single"/>
            <sz val="11"/>
            <rFont val="Tahoma"/>
            <family val="2"/>
          </rPr>
          <t xml:space="preserve"> s</t>
        </r>
        <r>
          <rPr>
            <b/>
            <sz val="11"/>
            <rFont val="Tahoma"/>
            <family val="2"/>
          </rPr>
          <t xml:space="preserve"> is the elasticity of substitution.</t>
        </r>
      </text>
    </comment>
    <comment ref="I2" authorId="0">
      <text>
        <r>
          <rPr>
            <b/>
            <sz val="8"/>
            <rFont val="Tahoma"/>
            <family val="0"/>
          </rPr>
          <t xml:space="preserve"> 
Value from the previous sheet. Do not change.</t>
        </r>
      </text>
    </comment>
  </commentList>
</comments>
</file>

<file path=xl/sharedStrings.xml><?xml version="1.0" encoding="utf-8"?>
<sst xmlns="http://schemas.openxmlformats.org/spreadsheetml/2006/main" count="211" uniqueCount="118">
  <si>
    <t>X</t>
  </si>
  <si>
    <t>Y_budget</t>
  </si>
  <si>
    <t>M =</t>
  </si>
  <si>
    <t>X =</t>
  </si>
  <si>
    <t>Y =</t>
  </si>
  <si>
    <t>U =</t>
  </si>
  <si>
    <t>Initial</t>
  </si>
  <si>
    <r>
      <t>New P</t>
    </r>
    <r>
      <rPr>
        <vertAlign val="subscript"/>
        <sz val="10"/>
        <rFont val="Arial"/>
        <family val="2"/>
      </rPr>
      <t>X</t>
    </r>
    <r>
      <rPr>
        <sz val="10"/>
        <rFont val="Arial"/>
        <family val="0"/>
      </rPr>
      <t xml:space="preserve"> </t>
    </r>
  </si>
  <si>
    <r>
      <t>Initial P</t>
    </r>
    <r>
      <rPr>
        <vertAlign val="subscript"/>
        <sz val="10"/>
        <rFont val="Arial"/>
        <family val="2"/>
      </rPr>
      <t>X</t>
    </r>
    <r>
      <rPr>
        <sz val="10"/>
        <rFont val="Arial"/>
        <family val="0"/>
      </rPr>
      <t xml:space="preserve"> </t>
    </r>
  </si>
  <si>
    <t>Quantity of X</t>
  </si>
  <si>
    <t>Y1 =</t>
  </si>
  <si>
    <t>Y2 =</t>
  </si>
  <si>
    <t>Y3 =</t>
  </si>
  <si>
    <t>U|Y=Y1</t>
  </si>
  <si>
    <t>U|Y=Y2</t>
  </si>
  <si>
    <t>U|Y=Y3</t>
  </si>
  <si>
    <t>Y4 =</t>
  </si>
  <si>
    <t>U|Y=Y4</t>
  </si>
  <si>
    <r>
      <t>P</t>
    </r>
    <r>
      <rPr>
        <b/>
        <vertAlign val="subscript"/>
        <sz val="10"/>
        <rFont val="Arial"/>
        <family val="2"/>
      </rPr>
      <t>X</t>
    </r>
    <r>
      <rPr>
        <b/>
        <sz val="10"/>
        <rFont val="Arial"/>
        <family val="2"/>
      </rPr>
      <t xml:space="preserve"> =</t>
    </r>
  </si>
  <si>
    <t>Uncompensated</t>
  </si>
  <si>
    <t>Compensated</t>
  </si>
  <si>
    <t>New</t>
  </si>
  <si>
    <t>r=(1-s)/s</t>
  </si>
  <si>
    <t>s =</t>
  </si>
  <si>
    <t>r =</t>
  </si>
  <si>
    <r>
      <t>U = A[aX^</t>
    </r>
    <r>
      <rPr>
        <vertAlign val="superscript"/>
        <sz val="10"/>
        <rFont val="Arial"/>
        <family val="2"/>
      </rPr>
      <t>-r</t>
    </r>
    <r>
      <rPr>
        <sz val="10"/>
        <rFont val="Arial"/>
        <family val="0"/>
      </rPr>
      <t xml:space="preserve"> + (1-a)Y^</t>
    </r>
    <r>
      <rPr>
        <vertAlign val="superscript"/>
        <sz val="10"/>
        <rFont val="Arial"/>
        <family val="2"/>
      </rPr>
      <t>-r</t>
    </r>
    <r>
      <rPr>
        <sz val="10"/>
        <rFont val="Arial"/>
        <family val="0"/>
      </rPr>
      <t>]^</t>
    </r>
    <r>
      <rPr>
        <vertAlign val="superscript"/>
        <sz val="10"/>
        <rFont val="Arial"/>
        <family val="2"/>
      </rPr>
      <t>-1</t>
    </r>
  </si>
  <si>
    <t>A =</t>
  </si>
  <si>
    <t>a =</t>
  </si>
  <si>
    <t xml:space="preserve">Y3 = </t>
  </si>
  <si>
    <t>U_Y= Y1</t>
  </si>
  <si>
    <t>U_Y= Y2</t>
  </si>
  <si>
    <t>U_Y=Y3</t>
  </si>
  <si>
    <t xml:space="preserve">U* = </t>
  </si>
  <si>
    <t>Y_U=U*</t>
  </si>
  <si>
    <t>Price</t>
  </si>
  <si>
    <t>U* =</t>
  </si>
  <si>
    <t>Q_uncompensated</t>
  </si>
  <si>
    <t>Q_compensated</t>
  </si>
  <si>
    <t xml:space="preserve">M= </t>
  </si>
  <si>
    <t>Xunc</t>
  </si>
  <si>
    <t>Pinitial</t>
  </si>
  <si>
    <t>Pnew</t>
  </si>
  <si>
    <t>Xinitial</t>
  </si>
  <si>
    <t>Xcomp</t>
  </si>
  <si>
    <t>V* = (U*/A)^-r</t>
  </si>
  <si>
    <t>All</t>
  </si>
  <si>
    <t>values</t>
  </si>
  <si>
    <t>from</t>
  </si>
  <si>
    <t>previous</t>
  </si>
  <si>
    <t>sheets</t>
  </si>
  <si>
    <t>a/(1-a) =</t>
  </si>
  <si>
    <t>Overview</t>
  </si>
  <si>
    <t>Term definitions</t>
  </si>
  <si>
    <t>From the previous spreadsheet:</t>
  </si>
  <si>
    <t>From previous sheets</t>
  </si>
  <si>
    <t>IndCrv</t>
  </si>
  <si>
    <t>BdgtLine</t>
  </si>
  <si>
    <t>From a previous spreadsheet</t>
  </si>
  <si>
    <t>From a previous sheet</t>
  </si>
  <si>
    <t>BdgtLine1</t>
  </si>
  <si>
    <t>IndCrv1</t>
  </si>
  <si>
    <t>BdgtLine2</t>
  </si>
  <si>
    <t>IndCrv2</t>
  </si>
  <si>
    <t>Intermediate values</t>
  </si>
  <si>
    <r>
      <t>for s and P</t>
    </r>
    <r>
      <rPr>
        <vertAlign val="subscript"/>
        <sz val="10"/>
        <rFont val="Arial"/>
        <family val="2"/>
      </rPr>
      <t>X</t>
    </r>
    <r>
      <rPr>
        <sz val="10"/>
        <rFont val="Arial"/>
        <family val="0"/>
      </rPr>
      <t>. Do not erase.</t>
    </r>
  </si>
  <si>
    <t>Intermediate Value. Do not erase.</t>
  </si>
  <si>
    <t>IncConCrv</t>
  </si>
  <si>
    <t>Intermediate values. Do not delete.</t>
  </si>
  <si>
    <t>P</t>
  </si>
  <si>
    <t>Income Level</t>
  </si>
  <si>
    <t>Utility Level</t>
  </si>
  <si>
    <t>Arc Price Elasticity</t>
  </si>
  <si>
    <t>Specify maximum values</t>
  </si>
  <si>
    <t>Xmax =</t>
  </si>
  <si>
    <t>Ymax =</t>
  </si>
  <si>
    <t>From prior sheet</t>
  </si>
  <si>
    <t>Figure 1. The Utility Function</t>
  </si>
  <si>
    <t>Figure 3. Price Change with No Compensation</t>
  </si>
  <si>
    <t>Figure 5. Utility, Two Views</t>
  </si>
  <si>
    <t>Figures 10 &amp; 11. Price Change without Compensation</t>
  </si>
  <si>
    <t>Figure 12. Price Change with Compensation</t>
  </si>
  <si>
    <t>Total Utility Curves</t>
  </si>
  <si>
    <t>If you cannot see the entire table, set zoom = 75 percent.</t>
  </si>
  <si>
    <t>1/(1+r) =</t>
  </si>
  <si>
    <t>DeltaP =</t>
  </si>
  <si>
    <t>Po</t>
  </si>
  <si>
    <t>P1</t>
  </si>
  <si>
    <t>P2</t>
  </si>
  <si>
    <t>P3</t>
  </si>
  <si>
    <t>P4</t>
  </si>
  <si>
    <t>P5</t>
  </si>
  <si>
    <t>P6</t>
  </si>
  <si>
    <t>P7</t>
  </si>
  <si>
    <t>P8</t>
  </si>
  <si>
    <t>P9</t>
  </si>
  <si>
    <t>P10</t>
  </si>
  <si>
    <t>Consumer Surplus, using Simpson's rule.</t>
  </si>
  <si>
    <t xml:space="preserve">Trapezoidal rule: </t>
  </si>
  <si>
    <t>Bound1:</t>
  </si>
  <si>
    <t>Bound2:</t>
  </si>
  <si>
    <t>P11</t>
  </si>
  <si>
    <t>P12</t>
  </si>
  <si>
    <t>P13</t>
  </si>
  <si>
    <t>P14</t>
  </si>
  <si>
    <t>P15</t>
  </si>
  <si>
    <t>P16</t>
  </si>
  <si>
    <t>P17</t>
  </si>
  <si>
    <t>P18</t>
  </si>
  <si>
    <t>P19</t>
  </si>
  <si>
    <t>P20</t>
  </si>
  <si>
    <t>Material below for approximating uncompensated CS</t>
  </si>
  <si>
    <t>Consumer Surplus Change* =</t>
  </si>
  <si>
    <t>Percentage difference between areas under</t>
  </si>
  <si>
    <t>compensated and uncompensated demand curves.</t>
  </si>
  <si>
    <t>Minimum</t>
  </si>
  <si>
    <t>Maximum</t>
  </si>
  <si>
    <t>Approximate</t>
  </si>
  <si>
    <t>Compensated and Uncompensated Demand Curves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</si>
</sst>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34">
    <font>
      <sz val="10"/>
      <name val="Arial"/>
      <family val="0"/>
    </font>
    <font>
      <sz val="11.5"/>
      <name val="Arial"/>
      <family val="0"/>
    </font>
    <font>
      <sz val="12"/>
      <name val="Arial"/>
      <family val="0"/>
    </font>
    <font>
      <b/>
      <sz val="12"/>
      <name val="Tahoma"/>
      <family val="2"/>
    </font>
    <font>
      <b/>
      <sz val="10"/>
      <name val="Arial"/>
      <family val="2"/>
    </font>
    <font>
      <sz val="10.25"/>
      <name val="Arial"/>
      <family val="0"/>
    </font>
    <font>
      <vertAlign val="subscript"/>
      <sz val="10"/>
      <name val="Arial"/>
      <family val="2"/>
    </font>
    <font>
      <b/>
      <vertAlign val="subscript"/>
      <sz val="10"/>
      <name val="Arial"/>
      <family val="2"/>
    </font>
    <font>
      <b/>
      <sz val="8"/>
      <name val="Tahoma"/>
      <family val="0"/>
    </font>
    <font>
      <b/>
      <vertAlign val="superscript"/>
      <sz val="12"/>
      <name val="Tahoma"/>
      <family val="2"/>
    </font>
    <font>
      <b/>
      <sz val="11"/>
      <name val="Tahoma"/>
      <family val="2"/>
    </font>
    <font>
      <b/>
      <vertAlign val="subscript"/>
      <sz val="12"/>
      <name val="Tahoma"/>
      <family val="2"/>
    </font>
    <font>
      <vertAlign val="superscript"/>
      <sz val="10"/>
      <name val="Arial"/>
      <family val="2"/>
    </font>
    <font>
      <b/>
      <vertAlign val="superscript"/>
      <sz val="11"/>
      <name val="Tahoma"/>
      <family val="2"/>
    </font>
    <font>
      <b/>
      <sz val="9"/>
      <name val="Arial"/>
      <family val="2"/>
    </font>
    <font>
      <b/>
      <sz val="10"/>
      <color indexed="20"/>
      <name val="Arial"/>
      <family val="2"/>
    </font>
    <font>
      <b/>
      <sz val="10"/>
      <color indexed="12"/>
      <name val="Arial"/>
      <family val="2"/>
    </font>
    <font>
      <b/>
      <sz val="10"/>
      <color indexed="10"/>
      <name val="Arial"/>
      <family val="2"/>
    </font>
    <font>
      <b/>
      <u val="single"/>
      <sz val="11"/>
      <name val="Tahoma"/>
      <family val="2"/>
    </font>
    <font>
      <b/>
      <vertAlign val="subscript"/>
      <sz val="8"/>
      <name val="Tahoma"/>
      <family val="2"/>
    </font>
    <font>
      <sz val="9.5"/>
      <name val="Arial"/>
      <family val="0"/>
    </font>
    <font>
      <u val="single"/>
      <sz val="10"/>
      <color indexed="12"/>
      <name val="Arial"/>
      <family val="0"/>
    </font>
    <font>
      <u val="single"/>
      <sz val="10"/>
      <color indexed="36"/>
      <name val="Arial"/>
      <family val="0"/>
    </font>
    <font>
      <sz val="10.75"/>
      <name val="Arial"/>
      <family val="2"/>
    </font>
    <font>
      <b/>
      <u val="single"/>
      <sz val="10"/>
      <name val="Arial"/>
      <family val="2"/>
    </font>
    <font>
      <sz val="8"/>
      <name val="Arial"/>
      <family val="0"/>
    </font>
    <font>
      <b/>
      <sz val="9.5"/>
      <name val="Arial"/>
      <family val="2"/>
    </font>
    <font>
      <sz val="9.25"/>
      <name val="Arial"/>
      <family val="0"/>
    </font>
    <font>
      <sz val="8"/>
      <name val="Tahoma"/>
      <family val="0"/>
    </font>
    <font>
      <b/>
      <sz val="9"/>
      <color indexed="12"/>
      <name val="Arial"/>
      <family val="2"/>
    </font>
    <font>
      <sz val="11.75"/>
      <name val="Arial"/>
      <family val="0"/>
    </font>
    <font>
      <b/>
      <sz val="12"/>
      <name val="Arial"/>
      <family val="0"/>
    </font>
    <font>
      <sz val="9.75"/>
      <name val="Arial"/>
      <family val="0"/>
    </font>
    <font>
      <b/>
      <sz val="8"/>
      <name val="Arial"/>
      <family val="2"/>
    </font>
  </fonts>
  <fills count="9">
    <fill>
      <patternFill/>
    </fill>
    <fill>
      <patternFill patternType="gray125"/>
    </fill>
    <fill>
      <patternFill patternType="solid">
        <fgColor indexed="13"/>
        <bgColor indexed="64"/>
      </patternFill>
    </fill>
    <fill>
      <patternFill patternType="solid">
        <fgColor indexed="30"/>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gray0625">
        <bgColor indexed="9"/>
      </patternFill>
    </fill>
    <fill>
      <patternFill patternType="solid">
        <fgColor indexed="9"/>
        <bgColor indexed="64"/>
      </patternFill>
    </fill>
  </fills>
  <borders count="34">
    <border>
      <left/>
      <right/>
      <top/>
      <bottom/>
      <diagonal/>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style="medium"/>
      <right style="thin"/>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2" borderId="0" xfId="0" applyFill="1" applyAlignment="1">
      <alignment/>
    </xf>
    <xf numFmtId="44" fontId="0" fillId="0" borderId="0" xfId="0" applyNumberFormat="1" applyAlignment="1">
      <alignment/>
    </xf>
    <xf numFmtId="0" fontId="0" fillId="3" borderId="0" xfId="0" applyFill="1" applyAlignment="1">
      <alignment/>
    </xf>
    <xf numFmtId="0" fontId="0" fillId="4" borderId="0" xfId="0" applyFill="1" applyAlignment="1">
      <alignment/>
    </xf>
    <xf numFmtId="0" fontId="0" fillId="4" borderId="0" xfId="0" applyFill="1" applyAlignment="1">
      <alignment horizontal="center"/>
    </xf>
    <xf numFmtId="0" fontId="0" fillId="4" borderId="0" xfId="0" applyFill="1" applyBorder="1" applyAlignment="1">
      <alignment/>
    </xf>
    <xf numFmtId="0" fontId="4" fillId="4" borderId="0" xfId="0" applyFont="1" applyFill="1" applyAlignment="1">
      <alignment/>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0" xfId="0" applyFont="1" applyFill="1" applyAlignment="1">
      <alignment/>
    </xf>
    <xf numFmtId="0" fontId="0" fillId="5" borderId="0" xfId="0" applyFill="1" applyAlignment="1">
      <alignment/>
    </xf>
    <xf numFmtId="44" fontId="4" fillId="5" borderId="1" xfId="17" applyFont="1" applyFill="1" applyBorder="1" applyAlignment="1">
      <alignment horizontal="center"/>
    </xf>
    <xf numFmtId="0" fontId="4" fillId="5" borderId="4" xfId="0" applyFont="1" applyFill="1" applyBorder="1" applyAlignment="1">
      <alignment horizontal="center"/>
    </xf>
    <xf numFmtId="44" fontId="4" fillId="5" borderId="5" xfId="17" applyFont="1" applyFill="1" applyBorder="1" applyAlignment="1">
      <alignment horizontal="center"/>
    </xf>
    <xf numFmtId="0" fontId="4" fillId="5" borderId="6" xfId="0" applyFont="1" applyFill="1" applyBorder="1" applyAlignment="1">
      <alignment horizontal="center"/>
    </xf>
    <xf numFmtId="44" fontId="4" fillId="5" borderId="7" xfId="17"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5" borderId="1" xfId="0" applyNumberFormat="1" applyFont="1" applyFill="1" applyBorder="1" applyAlignment="1">
      <alignment horizontal="center"/>
    </xf>
    <xf numFmtId="44" fontId="4" fillId="5" borderId="1" xfId="0" applyNumberFormat="1" applyFont="1" applyFill="1" applyBorder="1" applyAlignment="1">
      <alignment horizontal="center"/>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14" fillId="5" borderId="11" xfId="0" applyFont="1" applyFill="1" applyBorder="1" applyAlignment="1">
      <alignment horizontal="center"/>
    </xf>
    <xf numFmtId="0" fontId="14" fillId="5" borderId="12" xfId="0" applyFont="1" applyFill="1" applyBorder="1" applyAlignment="1">
      <alignment horizontal="center"/>
    </xf>
    <xf numFmtId="44" fontId="4" fillId="5" borderId="15" xfId="17" applyFont="1" applyFill="1" applyBorder="1" applyAlignment="1">
      <alignment horizontal="center"/>
    </xf>
    <xf numFmtId="0" fontId="4" fillId="5" borderId="16" xfId="0" applyFont="1" applyFill="1" applyBorder="1" applyAlignment="1">
      <alignment horizontal="center"/>
    </xf>
    <xf numFmtId="165" fontId="4" fillId="5" borderId="1" xfId="0" applyNumberFormat="1" applyFont="1" applyFill="1" applyBorder="1" applyAlignment="1">
      <alignment horizontal="center"/>
    </xf>
    <xf numFmtId="165" fontId="4" fillId="5" borderId="1" xfId="0" applyNumberFormat="1" applyFont="1" applyFill="1" applyBorder="1" applyAlignment="1">
      <alignment/>
    </xf>
    <xf numFmtId="0" fontId="4" fillId="6" borderId="1" xfId="0" applyFont="1" applyFill="1" applyBorder="1" applyAlignment="1">
      <alignment horizontal="center"/>
    </xf>
    <xf numFmtId="0" fontId="4" fillId="5" borderId="17" xfId="0" applyFont="1" applyFill="1" applyBorder="1" applyAlignment="1">
      <alignment horizontal="center"/>
    </xf>
    <xf numFmtId="165" fontId="4" fillId="5" borderId="18" xfId="0" applyNumberFormat="1" applyFont="1" applyFill="1" applyBorder="1" applyAlignment="1">
      <alignment horizontal="center"/>
    </xf>
    <xf numFmtId="165" fontId="4" fillId="5" borderId="7" xfId="0" applyNumberFormat="1" applyFont="1" applyFill="1" applyBorder="1" applyAlignment="1">
      <alignment horizontal="center"/>
    </xf>
    <xf numFmtId="165" fontId="4" fillId="5" borderId="11" xfId="0" applyNumberFormat="1" applyFont="1" applyFill="1" applyBorder="1" applyAlignment="1">
      <alignment horizontal="center"/>
    </xf>
    <xf numFmtId="165" fontId="4" fillId="5" borderId="19" xfId="0" applyNumberFormat="1" applyFont="1" applyFill="1" applyBorder="1" applyAlignment="1">
      <alignment horizontal="center"/>
    </xf>
    <xf numFmtId="165" fontId="4" fillId="5" borderId="9" xfId="0" applyNumberFormat="1" applyFont="1" applyFill="1" applyBorder="1" applyAlignment="1">
      <alignment horizontal="center"/>
    </xf>
    <xf numFmtId="0" fontId="0" fillId="6" borderId="1" xfId="0" applyNumberFormat="1" applyFill="1" applyBorder="1" applyAlignment="1">
      <alignment horizontal="center"/>
    </xf>
    <xf numFmtId="165" fontId="0" fillId="6" borderId="1" xfId="0" applyNumberFormat="1" applyFill="1" applyBorder="1" applyAlignment="1">
      <alignment horizontal="center"/>
    </xf>
    <xf numFmtId="0" fontId="4" fillId="6" borderId="4" xfId="0" applyFont="1" applyFill="1" applyBorder="1" applyAlignment="1">
      <alignment horizontal="center"/>
    </xf>
    <xf numFmtId="44" fontId="4" fillId="6" borderId="5" xfId="17" applyFont="1" applyFill="1" applyBorder="1" applyAlignment="1">
      <alignment horizontal="center"/>
    </xf>
    <xf numFmtId="0" fontId="4" fillId="6" borderId="6" xfId="0" applyFont="1" applyFill="1" applyBorder="1" applyAlignment="1">
      <alignment horizontal="center"/>
    </xf>
    <xf numFmtId="44" fontId="4" fillId="6" borderId="1" xfId="17" applyFont="1" applyFill="1" applyBorder="1" applyAlignment="1">
      <alignment horizontal="center"/>
    </xf>
    <xf numFmtId="44" fontId="4" fillId="6" borderId="7" xfId="17" applyFont="1" applyFill="1" applyBorder="1" applyAlignment="1">
      <alignment horizontal="center"/>
    </xf>
    <xf numFmtId="44" fontId="4" fillId="6" borderId="15" xfId="17" applyFont="1" applyFill="1" applyBorder="1" applyAlignment="1">
      <alignment horizontal="center"/>
    </xf>
    <xf numFmtId="0" fontId="4" fillId="7" borderId="1" xfId="0" applyFont="1" applyFill="1" applyBorder="1" applyAlignment="1">
      <alignment horizontal="center"/>
    </xf>
    <xf numFmtId="0" fontId="4" fillId="4" borderId="0" xfId="0" applyFont="1" applyFill="1" applyAlignment="1">
      <alignment horizontal="center"/>
    </xf>
    <xf numFmtId="0" fontId="0" fillId="8" borderId="0" xfId="0" applyFill="1" applyAlignment="1">
      <alignment/>
    </xf>
    <xf numFmtId="166" fontId="4" fillId="5" borderId="1" xfId="0" applyNumberFormat="1" applyFont="1" applyFill="1" applyBorder="1" applyAlignment="1">
      <alignment horizontal="center"/>
    </xf>
    <xf numFmtId="0" fontId="4" fillId="5" borderId="20" xfId="0" applyFont="1" applyFill="1" applyBorder="1" applyAlignment="1">
      <alignment horizontal="center"/>
    </xf>
    <xf numFmtId="165" fontId="4" fillId="5" borderId="1" xfId="0" applyNumberFormat="1" applyFont="1" applyFill="1" applyBorder="1" applyAlignment="1">
      <alignment horizontal="left"/>
    </xf>
    <xf numFmtId="44" fontId="4" fillId="5" borderId="1" xfId="0" applyNumberFormat="1" applyFont="1" applyFill="1" applyBorder="1" applyAlignment="1">
      <alignment horizontal="right"/>
    </xf>
    <xf numFmtId="165" fontId="4" fillId="5" borderId="1" xfId="0" applyNumberFormat="1" applyFont="1" applyFill="1" applyBorder="1" applyAlignment="1">
      <alignment horizontal="right"/>
    </xf>
    <xf numFmtId="0" fontId="0" fillId="0" borderId="0" xfId="0" applyAlignment="1">
      <alignment horizontal="center"/>
    </xf>
    <xf numFmtId="0" fontId="0" fillId="6" borderId="0" xfId="0" applyFill="1" applyAlignment="1">
      <alignment/>
    </xf>
    <xf numFmtId="0" fontId="4" fillId="6" borderId="0" xfId="0" applyFont="1" applyFill="1" applyAlignment="1">
      <alignment/>
    </xf>
    <xf numFmtId="10" fontId="4" fillId="5" borderId="7" xfId="0" applyNumberFormat="1" applyFont="1" applyFill="1" applyBorder="1" applyAlignment="1">
      <alignment/>
    </xf>
    <xf numFmtId="10" fontId="4" fillId="5" borderId="9" xfId="0" applyNumberFormat="1" applyFont="1" applyFill="1" applyBorder="1" applyAlignment="1">
      <alignment/>
    </xf>
    <xf numFmtId="0" fontId="0" fillId="5" borderId="0" xfId="0" applyFill="1" applyAlignment="1">
      <alignment horizontal="center"/>
    </xf>
    <xf numFmtId="0" fontId="4" fillId="6" borderId="18" xfId="0" applyFont="1" applyFill="1" applyBorder="1" applyAlignment="1">
      <alignment horizontal="center"/>
    </xf>
    <xf numFmtId="0" fontId="4" fillId="6" borderId="17" xfId="0" applyFont="1" applyFill="1" applyBorder="1" applyAlignment="1">
      <alignment horizontal="center"/>
    </xf>
    <xf numFmtId="0" fontId="4" fillId="5" borderId="2" xfId="0" applyFont="1" applyFill="1" applyBorder="1" applyAlignment="1">
      <alignment horizontal="center"/>
    </xf>
    <xf numFmtId="0" fontId="4" fillId="8"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21" xfId="0" applyFont="1" applyFill="1" applyBorder="1" applyAlignment="1">
      <alignment horizontal="center"/>
    </xf>
    <xf numFmtId="0" fontId="4" fillId="4" borderId="18" xfId="0" applyFont="1" applyFill="1" applyBorder="1" applyAlignment="1">
      <alignment horizontal="center"/>
    </xf>
    <xf numFmtId="0" fontId="4" fillId="4" borderId="21" xfId="0" applyFont="1" applyFill="1" applyBorder="1" applyAlignment="1">
      <alignment horizontal="center"/>
    </xf>
    <xf numFmtId="0" fontId="4" fillId="4" borderId="17" xfId="0" applyFont="1" applyFill="1" applyBorder="1" applyAlignment="1">
      <alignment horizontal="center"/>
    </xf>
    <xf numFmtId="0" fontId="4" fillId="4" borderId="0" xfId="0" applyFont="1" applyFill="1" applyAlignment="1">
      <alignment horizontal="center"/>
    </xf>
    <xf numFmtId="0" fontId="4" fillId="6" borderId="1" xfId="0" applyFont="1" applyFill="1" applyBorder="1" applyAlignment="1">
      <alignment horizontal="center"/>
    </xf>
    <xf numFmtId="0" fontId="4" fillId="5" borderId="3" xfId="0" applyFont="1" applyFill="1" applyBorder="1" applyAlignment="1">
      <alignment horizontal="center"/>
    </xf>
    <xf numFmtId="0" fontId="4" fillId="4" borderId="22" xfId="0" applyFont="1" applyFill="1" applyBorder="1" applyAlignment="1">
      <alignment horizontal="center"/>
    </xf>
    <xf numFmtId="0" fontId="4" fillId="5" borderId="4" xfId="0" applyFont="1" applyFill="1" applyBorder="1" applyAlignment="1">
      <alignment horizontal="center"/>
    </xf>
    <xf numFmtId="0" fontId="4" fillId="5" borderId="15" xfId="0" applyFont="1" applyFill="1" applyBorder="1" applyAlignment="1">
      <alignment horizontal="center"/>
    </xf>
    <xf numFmtId="0" fontId="4" fillId="5" borderId="5" xfId="0" applyFont="1" applyFill="1" applyBorder="1" applyAlignment="1">
      <alignment horizont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4" fillId="5" borderId="24" xfId="0" applyFont="1" applyFill="1" applyBorder="1" applyAlignment="1">
      <alignment horizontal="center"/>
    </xf>
    <xf numFmtId="0" fontId="4" fillId="5" borderId="25" xfId="0" applyFont="1" applyFill="1" applyBorder="1" applyAlignment="1">
      <alignment horizontal="center"/>
    </xf>
    <xf numFmtId="0" fontId="4" fillId="4" borderId="26" xfId="0" applyFont="1" applyFill="1" applyBorder="1" applyAlignment="1">
      <alignment horizontal="center"/>
    </xf>
    <xf numFmtId="0" fontId="4" fillId="5" borderId="27" xfId="0" applyFont="1" applyFill="1" applyBorder="1" applyAlignment="1">
      <alignment horizontal="center"/>
    </xf>
    <xf numFmtId="0" fontId="4" fillId="5" borderId="28" xfId="0" applyFont="1" applyFill="1" applyBorder="1" applyAlignment="1">
      <alignment horizontal="center"/>
    </xf>
    <xf numFmtId="0" fontId="4" fillId="5" borderId="29" xfId="0" applyFont="1" applyFill="1" applyBorder="1" applyAlignment="1">
      <alignment horizontal="center"/>
    </xf>
    <xf numFmtId="0" fontId="4" fillId="5" borderId="30" xfId="0" applyFont="1" applyFill="1" applyBorder="1" applyAlignment="1">
      <alignment horizontal="center"/>
    </xf>
    <xf numFmtId="0" fontId="4" fillId="5" borderId="31" xfId="0" applyFont="1" applyFill="1" applyBorder="1" applyAlignment="1">
      <alignment horizontal="center"/>
    </xf>
    <xf numFmtId="0" fontId="4" fillId="5" borderId="18" xfId="0" applyFont="1" applyFill="1" applyBorder="1" applyAlignment="1">
      <alignment horizontal="right"/>
    </xf>
    <xf numFmtId="0" fontId="4" fillId="5" borderId="21" xfId="0" applyFont="1" applyFill="1" applyBorder="1" applyAlignment="1">
      <alignment horizontal="right"/>
    </xf>
    <xf numFmtId="0" fontId="4" fillId="5" borderId="17" xfId="0" applyFont="1" applyFill="1" applyBorder="1" applyAlignment="1">
      <alignment horizontal="right"/>
    </xf>
    <xf numFmtId="0" fontId="0" fillId="0" borderId="0" xfId="0" applyAlignment="1">
      <alignment horizontal="center"/>
    </xf>
    <xf numFmtId="0" fontId="4" fillId="5" borderId="25" xfId="0" applyFont="1" applyFill="1" applyBorder="1" applyAlignment="1">
      <alignment horizontal="center" shrinkToFit="1"/>
    </xf>
    <xf numFmtId="0" fontId="4" fillId="5" borderId="21" xfId="0" applyFont="1" applyFill="1" applyBorder="1" applyAlignment="1">
      <alignment horizontal="center" shrinkToFit="1"/>
    </xf>
    <xf numFmtId="0" fontId="4" fillId="5" borderId="32" xfId="0" applyFont="1" applyFill="1" applyBorder="1" applyAlignment="1">
      <alignment horizontal="center" shrinkToFit="1"/>
    </xf>
    <xf numFmtId="0" fontId="4" fillId="5" borderId="25" xfId="0" applyFont="1" applyFill="1" applyBorder="1" applyAlignment="1">
      <alignment horizontal="right"/>
    </xf>
    <xf numFmtId="0" fontId="4" fillId="5" borderId="23" xfId="0" applyFont="1" applyFill="1" applyBorder="1" applyAlignment="1">
      <alignment horizontal="right"/>
    </xf>
    <xf numFmtId="0" fontId="4" fillId="5" borderId="33" xfId="0" applyFont="1" applyFill="1" applyBorder="1" applyAlignment="1">
      <alignment horizontal="right"/>
    </xf>
    <xf numFmtId="0" fontId="4" fillId="5" borderId="24"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1"/>
          <c:h val="0.93775"/>
        </c:manualLayout>
      </c:layout>
      <c:area3DChart>
        <c:grouping val="standard"/>
        <c:varyColors val="0"/>
        <c:ser>
          <c:idx val="0"/>
          <c:order val="0"/>
          <c:tx>
            <c:strRef>
              <c:f>TotalUtilityCurves!$C$3</c:f>
              <c:strCache>
                <c:ptCount val="1"/>
                <c:pt idx="0">
                  <c:v>U|Y=Y1</c:v>
                </c:pt>
              </c:strCache>
            </c:strRef>
          </c:tx>
          <c:spPr>
            <a:pattFill prst="wdDnDiag">
              <a:fgClr>
                <a:srgbClr val="C0C0C0"/>
              </a:fgClr>
              <a:bgClr>
                <a:srgbClr val="FFFFFF"/>
              </a:bgClr>
            </a:pattFill>
          </c:spPr>
          <c:extLst>
            <c:ext xmlns:c14="http://schemas.microsoft.com/office/drawing/2007/8/2/chart" uri="{6F2FDCE9-48DA-4B69-8628-5D25D57E5C99}">
              <c14:invertSolidFillFmt>
                <c14:spPr>
                  <a:solidFill>
                    <a:srgbClr val="FFFFFF"/>
                  </a:solidFill>
                </c14:spPr>
              </c14:invertSolidFillFmt>
            </c:ext>
          </c:extLst>
          <c:val>
            <c:numRef>
              <c:f>TotalUtilityCurves!$C$4:$C$24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TotalUtilityCurves!$D$3</c:f>
              <c:strCache>
                <c:ptCount val="1"/>
                <c:pt idx="0">
                  <c:v>U|Y=Y2</c:v>
                </c:pt>
              </c:strCache>
            </c:strRef>
          </c:tx>
          <c:spPr>
            <a:pattFill prst="lgGrid">
              <a:fgClr>
                <a:srgbClr val="969696"/>
              </a:fgClr>
              <a:bgClr>
                <a:srgbClr val="FFFFFF"/>
              </a:bgClr>
            </a:pattFill>
          </c:spPr>
          <c:extLst>
            <c:ext xmlns:c14="http://schemas.microsoft.com/office/drawing/2007/8/2/chart" uri="{6F2FDCE9-48DA-4B69-8628-5D25D57E5C99}">
              <c14:invertSolidFillFmt>
                <c14:spPr>
                  <a:solidFill>
                    <a:srgbClr val="FFFFFF"/>
                  </a:solidFill>
                </c14:spPr>
              </c14:invertSolidFillFmt>
            </c:ext>
          </c:extLst>
          <c:val>
            <c:numRef>
              <c:f>TotalUtilityCurves!$D$4:$D$24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TotalUtilityCurves!$E$3</c:f>
              <c:strCache>
                <c:ptCount val="1"/>
                <c:pt idx="0">
                  <c:v>U|Y=Y3</c:v>
                </c:pt>
              </c:strCache>
            </c:strRef>
          </c:tx>
          <c:spPr>
            <a:pattFill prst="dashHorz">
              <a:fgClr>
                <a:srgbClr val="808080"/>
              </a:fgClr>
              <a:bgClr>
                <a:srgbClr val="FFFFFF"/>
              </a:bgClr>
            </a:pattFill>
          </c:spPr>
          <c:extLst>
            <c:ext xmlns:c14="http://schemas.microsoft.com/office/drawing/2007/8/2/chart" uri="{6F2FDCE9-48DA-4B69-8628-5D25D57E5C99}">
              <c14:invertSolidFillFmt>
                <c14:spPr>
                  <a:solidFill>
                    <a:srgbClr val="FFFFFF"/>
                  </a:solidFill>
                </c14:spPr>
              </c14:invertSolidFillFmt>
            </c:ext>
          </c:extLst>
          <c:val>
            <c:numRef>
              <c:f>TotalUtilityCurves!$E$4:$E$24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TotalUtilityCurves!$F$3</c:f>
              <c:strCache>
                <c:ptCount val="1"/>
                <c:pt idx="0">
                  <c:v>U|Y=Y4</c:v>
                </c:pt>
              </c:strCache>
            </c:strRef>
          </c:tx>
          <c:spPr>
            <a:solidFill>
              <a:srgbClr val="808080"/>
            </a:solidFill>
          </c:spPr>
          <c:extLst>
            <c:ext xmlns:c14="http://schemas.microsoft.com/office/drawing/2007/8/2/chart" uri="{6F2FDCE9-48DA-4B69-8628-5D25D57E5C99}">
              <c14:invertSolidFillFmt>
                <c14:spPr>
                  <a:solidFill>
                    <a:srgbClr val="FFFFFF"/>
                  </a:solidFill>
                </c14:spPr>
              </c14:invertSolidFillFmt>
            </c:ext>
          </c:extLst>
          <c:val>
            <c:numRef>
              <c:f>TotalUtilityCurves!$F$4:$F$24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16923496"/>
        <c:axId val="18093737"/>
        <c:axId val="28625906"/>
      </c:area3DChart>
      <c:catAx>
        <c:axId val="16923496"/>
        <c:scaling>
          <c:orientation val="minMax"/>
        </c:scaling>
        <c:axPos val="b"/>
        <c:title>
          <c:tx>
            <c:rich>
              <a:bodyPr vert="horz" rot="0" anchor="ctr"/>
              <a:lstStyle/>
              <a:p>
                <a:pPr algn="ctr">
                  <a:defRPr/>
                </a:pPr>
                <a:r>
                  <a:rPr lang="en-US" cap="none" sz="1000" b="1" i="0" u="none" baseline="0">
                    <a:latin typeface="Arial"/>
                    <a:ea typeface="Arial"/>
                    <a:cs typeface="Arial"/>
                  </a:rPr>
                  <a:t>Good X (Observation #)</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18093737"/>
        <c:crosses val="autoZero"/>
        <c:auto val="1"/>
        <c:lblOffset val="100"/>
        <c:noMultiLvlLbl val="0"/>
      </c:catAx>
      <c:valAx>
        <c:axId val="18093737"/>
        <c:scaling>
          <c:orientation val="minMax"/>
          <c:max val="350"/>
        </c:scaling>
        <c:axPos val="l"/>
        <c:title>
          <c:tx>
            <c:rich>
              <a:bodyPr vert="horz" rot="0" anchor="ctr"/>
              <a:lstStyle/>
              <a:p>
                <a:pPr algn="ctr">
                  <a:defRPr/>
                </a:pPr>
                <a:r>
                  <a:rPr lang="en-US" cap="none" sz="1000" b="1" i="0" u="none" baseline="0">
                    <a:latin typeface="Arial"/>
                    <a:ea typeface="Arial"/>
                    <a:cs typeface="Arial"/>
                  </a:rPr>
                  <a:t>Utility</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16923496"/>
        <c:crossesAt val="1"/>
        <c:crossBetween val="midCat"/>
        <c:dispUnits/>
      </c:valAx>
      <c:serAx>
        <c:axId val="28625906"/>
        <c:scaling>
          <c:orientation val="minMax"/>
        </c:scaling>
        <c:axPos val="b"/>
        <c:delete val="1"/>
        <c:majorTickMark val="out"/>
        <c:minorTickMark val="none"/>
        <c:tickLblPos val="low"/>
        <c:crossAx val="18093737"/>
        <c:crosses val="autoZero"/>
        <c:tickLblSkip val="1"/>
        <c:tickMarkSkip val="1"/>
      </c:serAx>
      <c:spPr>
        <a:noFill/>
        <a:ln>
          <a:noFill/>
        </a:ln>
      </c:spPr>
    </c:plotArea>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33"/>
          <c:w val="0.9275"/>
          <c:h val="0.85475"/>
        </c:manualLayout>
      </c:layout>
      <c:scatterChart>
        <c:scatterStyle val="line"/>
        <c:varyColors val="0"/>
        <c:ser>
          <c:idx val="0"/>
          <c:order val="0"/>
          <c:tx>
            <c:strRef>
              <c:f>DemandCurves!$AC$2</c:f>
              <c:strCache>
                <c:ptCount val="1"/>
                <c:pt idx="0">
                  <c:v>Q_uncompensated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DemandCurves!$AB$3:$AB$41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DemandCurves!$AC$3:$AC$41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ser>
          <c:idx val="1"/>
          <c:order val="1"/>
          <c:tx>
            <c:strRef>
              <c:f>DemandCurves!$AD$2</c:f>
              <c:strCache>
                <c:ptCount val="1"/>
                <c:pt idx="0">
                  <c:v>Q_compensated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DemandCurves!$AB$3:$AB$41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DemandCurves!$AD$3:$AD$41</c:f>
              <c:numCache>
                <c:ptCount val="39"/>
                <c:pt idx="0">
                  <c:v>32.04019705428864</c:v>
                </c:pt>
                <c:pt idx="1">
                  <c:v>27.601879732920843</c:v>
                </c:pt>
                <c:pt idx="2">
                  <c:v>24.020407226944176</c:v>
                </c:pt>
                <c:pt idx="3">
                  <c:v>21.08977591449794</c:v>
                </c:pt>
                <c:pt idx="4">
                  <c:v>18.662023118309246</c:v>
                </c:pt>
                <c:pt idx="5">
                  <c:v>16.6287796996887</c:v>
                </c:pt>
                <c:pt idx="6">
                  <c:v>14.909264811306121</c:v>
                </c:pt>
                <c:pt idx="7">
                  <c:v>13.442299327292488</c:v>
                </c:pt>
                <c:pt idx="8">
                  <c:v>12.180880937131588</c:v>
                </c:pt>
                <c:pt idx="9">
                  <c:v>11.088427589520949</c:v>
                </c:pt>
                <c:pt idx="10">
                  <c:v>10.136129802219617</c:v>
                </c:pt>
                <c:pt idx="11">
                  <c:v>9.301054039754112</c:v>
                </c:pt>
                <c:pt idx="12">
                  <c:v>8.564763772207865</c:v>
                </c:pt>
                <c:pt idx="13">
                  <c:v>7.912303142398246</c:v>
                </c:pt>
                <c:pt idx="14">
                  <c:v>7.331438421439728</c:v>
                </c:pt>
                <c:pt idx="15">
                  <c:v>6.812085264708769</c:v>
                </c:pt>
                <c:pt idx="16">
                  <c:v>6.345871594005673</c:v>
                </c:pt>
                <c:pt idx="17">
                  <c:v>5.925800653471902</c:v>
                </c:pt>
                <c:pt idx="18">
                  <c:v>5.545988868172964</c:v>
                </c:pt>
                <c:pt idx="19">
                  <c:v>5.201460132340577</c:v>
                </c:pt>
                <c:pt idx="20">
                  <c:v>4.887983074079046</c:v>
                </c:pt>
                <c:pt idx="21">
                  <c:v>4.601941343344162</c:v>
                </c:pt>
                <c:pt idx="22">
                  <c:v>4.340229487749678</c:v>
                </c:pt>
                <c:pt idx="23">
                  <c:v>4.100168810881442</c:v>
                </c:pt>
                <c:pt idx="24">
                  <c:v>3.8794389511872236</c:v>
                </c:pt>
                <c:pt idx="25">
                  <c:v>3.6760219147431275</c:v>
                </c:pt>
                <c:pt idx="26">
                  <c:v>3.48815603893708</c:v>
                </c:pt>
                <c:pt idx="27">
                  <c:v>3.3142979244869872</c:v>
                </c:pt>
                <c:pt idx="28">
                  <c:v>3.153090798720303</c:v>
                </c:pt>
                <c:pt idx="29">
                  <c:v>3.00333809852459</c:v>
                </c:pt>
                <c:pt idx="30">
                  <c:v>2.8639813120898028</c:v>
                </c:pt>
                <c:pt idx="31">
                  <c:v>2.7340813129611194</c:v>
                </c:pt>
                <c:pt idx="32">
                  <c:v>2.6128025716061796</c:v>
                </c:pt>
                <c:pt idx="33">
                  <c:v>2.4993997487681936</c:v>
                </c:pt>
                <c:pt idx="34">
                  <c:v>2.3932062688754234</c:v>
                </c:pt>
                <c:pt idx="35">
                  <c:v>2.2936245463910168</c:v>
                </c:pt>
                <c:pt idx="36">
                  <c:v>2.200117597521921</c:v>
                </c:pt>
                <c:pt idx="37">
                  <c:v>2.112201817445487</c:v>
                </c:pt>
                <c:pt idx="38">
                  <c:v>2.0294407416769507</c:v>
                </c:pt>
              </c:numCache>
            </c:numRef>
          </c:yVal>
          <c:smooth val="0"/>
        </c:ser>
        <c:ser>
          <c:idx val="2"/>
          <c:order val="2"/>
          <c:tx>
            <c:strRef>
              <c:f>DemandCurves!$AE$2</c:f>
              <c:strCache>
                <c:ptCount val="1"/>
                <c:pt idx="0">
                  <c:v>New PX </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DemandCurves!$AB$3:$AB$41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DemandCurves!$AE$3:$AE$41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ser>
          <c:idx val="3"/>
          <c:order val="3"/>
          <c:tx>
            <c:strRef>
              <c:f>DemandCurves!$AF$2</c:f>
              <c:strCache>
                <c:ptCount val="1"/>
                <c:pt idx="0">
                  <c:v>Initial PX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DemandCurves!$AB$3:$AB$41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DemandCurves!$AF$3:$AF$41</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12259533"/>
        <c:axId val="43226934"/>
      </c:scatterChart>
      <c:valAx>
        <c:axId val="12259533"/>
        <c:scaling>
          <c:orientation val="minMax"/>
        </c:scaling>
        <c:axPos val="b"/>
        <c:title>
          <c:tx>
            <c:rich>
              <a:bodyPr vert="horz" rot="0" anchor="ctr"/>
              <a:lstStyle/>
              <a:p>
                <a:pPr algn="ctr">
                  <a:defRPr/>
                </a:pPr>
                <a:r>
                  <a:rPr lang="en-US" cap="none" sz="1000" b="1" i="0" u="none" baseline="0">
                    <a:latin typeface="Arial"/>
                    <a:ea typeface="Arial"/>
                    <a:cs typeface="Arial"/>
                  </a:rPr>
                  <a:t>$ per Unit</a:t>
                </a:r>
              </a:p>
            </c:rich>
          </c:tx>
          <c:layout/>
          <c:overlay val="0"/>
          <c:spPr>
            <a:noFill/>
            <a:ln>
              <a:noFill/>
            </a:ln>
          </c:spPr>
        </c:title>
        <c:delete val="0"/>
        <c:numFmt formatCode="0.0" sourceLinked="0"/>
        <c:majorTickMark val="out"/>
        <c:minorTickMark val="none"/>
        <c:tickLblPos val="nextTo"/>
        <c:txPr>
          <a:bodyPr/>
          <a:lstStyle/>
          <a:p>
            <a:pPr>
              <a:defRPr lang="en-US" cap="none" sz="900" b="1" i="0" u="none" baseline="0">
                <a:latin typeface="Arial"/>
                <a:ea typeface="Arial"/>
                <a:cs typeface="Arial"/>
              </a:defRPr>
            </a:pPr>
          </a:p>
        </c:txPr>
        <c:crossAx val="43226934"/>
        <c:crosses val="autoZero"/>
        <c:crossBetween val="midCat"/>
        <c:dispUnits/>
      </c:valAx>
      <c:valAx>
        <c:axId val="43226934"/>
        <c:scaling>
          <c:orientation val="minMax"/>
          <c:max val="30"/>
          <c:min val="0"/>
        </c:scaling>
        <c:axPos val="l"/>
        <c:title>
          <c:tx>
            <c:rich>
              <a:bodyPr vert="horz" rot="-5400000" anchor="ctr"/>
              <a:lstStyle/>
              <a:p>
                <a:pPr algn="ctr">
                  <a:defRPr/>
                </a:pPr>
                <a:r>
                  <a:rPr lang="en-US" cap="none" sz="100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2259533"/>
        <c:crosses val="autoZero"/>
        <c:crossBetween val="midCat"/>
        <c:dispUnits/>
      </c:valAx>
      <c:spPr>
        <a:noFill/>
        <a:ln>
          <a:noFill/>
        </a:ln>
      </c:spPr>
    </c:plotArea>
    <c:legend>
      <c:legendPos val="r"/>
      <c:layout>
        <c:manualLayout>
          <c:xMode val="edge"/>
          <c:yMode val="edge"/>
          <c:x val="0.514"/>
          <c:y val="0.0165"/>
          <c:w val="0.486"/>
          <c:h val="0.208"/>
        </c:manualLayout>
      </c:layout>
      <c:overlay val="0"/>
      <c:spPr>
        <a:noFill/>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300"/>
      <c:depthPercent val="100"/>
      <c:rAngAx val="0"/>
      <c:perspective val="30"/>
    </c:view3D>
    <c:plotArea>
      <c:layout>
        <c:manualLayout>
          <c:xMode val="edge"/>
          <c:yMode val="edge"/>
          <c:x val="0"/>
          <c:y val="0"/>
          <c:w val="1"/>
          <c:h val="1"/>
        </c:manualLayout>
      </c:layout>
      <c:surface3DChart>
        <c:ser>
          <c:idx val="0"/>
          <c:order val="0"/>
          <c:tx>
            <c:strRef>
              <c:f>UtilityFunction!$AB$1</c:f>
              <c:strCache>
                <c:ptCount val="1"/>
                <c:pt idx="0">
                  <c:v>0</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UtilityFunction!$AB$2:$AB$22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UtilityFunction!$AC$1</c:f>
              <c:strCache>
                <c:ptCount val="1"/>
                <c:pt idx="0">
                  <c:v>1</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UtilityFunction!$AC$2:$AC$22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UtilityFunction!$AD$1</c:f>
              <c:strCache>
                <c:ptCount val="1"/>
                <c:pt idx="0">
                  <c:v>2</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UtilityFunction!$AD$2:$AD$22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3"/>
          <c:tx>
            <c:strRef>
              <c:f>UtilityFunction!$AE$1</c:f>
              <c:strCache>
                <c:ptCount val="1"/>
                <c:pt idx="0">
                  <c:v>3</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UtilityFunction!$AE$2:$AE$22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4"/>
          <c:order val="4"/>
          <c:tx>
            <c:strRef>
              <c:f>UtilityFunction!$AF$1</c:f>
              <c:strCache>
                <c:ptCount val="1"/>
                <c:pt idx="0">
                  <c:v>4</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UtilityFunction!$AF$2:$AF$22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5"/>
          <c:order val="5"/>
          <c:tx>
            <c:strRef>
              <c:f>UtilityFunction!$AG$1</c:f>
              <c:strCache>
                <c:ptCount val="1"/>
                <c:pt idx="0">
                  <c:v>5</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UtilityFunction!$AG$2:$AG$22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6"/>
          <c:order val="6"/>
          <c:tx>
            <c:strRef>
              <c:f>UtilityFunction!$AH$1</c:f>
              <c:strCache>
                <c:ptCount val="1"/>
                <c:pt idx="0">
                  <c:v>6</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UtilityFunction!$AH$2:$AH$22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7"/>
          <c:order val="7"/>
          <c:tx>
            <c:strRef>
              <c:f>UtilityFunction!$AI$1</c:f>
              <c:strCache>
                <c:ptCount val="1"/>
                <c:pt idx="0">
                  <c:v>7</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UtilityFunction!$AI$2:$AI$22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8"/>
          <c:order val="8"/>
          <c:tx>
            <c:strRef>
              <c:f>UtilityFunction!$AJ$1</c:f>
              <c:strCache>
                <c:ptCount val="1"/>
                <c:pt idx="0">
                  <c:v>8</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UtilityFunction!$AJ$2:$AJ$22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9"/>
          <c:order val="9"/>
          <c:tx>
            <c:strRef>
              <c:f>UtilityFunction!$AK$1</c:f>
              <c:strCache>
                <c:ptCount val="1"/>
                <c:pt idx="0">
                  <c:v>9</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UtilityFunction!$AK$2:$AK$22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0"/>
          <c:order val="10"/>
          <c:tx>
            <c:strRef>
              <c:f>UtilityFunction!$AL$1</c:f>
              <c:strCache>
                <c:ptCount val="1"/>
                <c:pt idx="0">
                  <c:v>10</c:v>
                </c:pt>
              </c:strCache>
            </c:strRef>
          </c:tx>
          <c:spPr>
            <a:sp3d prstMaterial="flat"/>
          </c:spPr>
          <c:extLst>
            <c:ext xmlns:c14="http://schemas.microsoft.com/office/drawing/2007/8/2/chart" uri="{6F2FDCE9-48DA-4B69-8628-5D25D57E5C99}">
              <c14:invertSolidFillFmt>
                <c14:spPr>
                  <a:solidFill>
                    <a:srgbClr val="000000"/>
                  </a:solidFill>
                </c14:spPr>
              </c14:invertSolidFillFmt>
            </c:ext>
          </c:extLst>
          <c:cat>
            <c:numRef>
              <c:f>UtilityFunction!$AA$2:$AA$22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UtilityFunction!$AL$2:$AL$22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56306563"/>
        <c:axId val="36997020"/>
        <c:axId val="64537725"/>
      </c:surface3DChart>
      <c:catAx>
        <c:axId val="56306563"/>
        <c:scaling>
          <c:orientation val="minMax"/>
        </c:scaling>
        <c:axPos val="b"/>
        <c:title>
          <c:tx>
            <c:rich>
              <a:bodyPr vert="horz" rot="-2700000" anchor="ctr"/>
              <a:lstStyle/>
              <a:p>
                <a:pPr algn="ctr">
                  <a:defRPr/>
                </a:pPr>
                <a:r>
                  <a:rPr lang="en-US" cap="none" sz="1200" b="1" i="0" u="none" baseline="0">
                    <a:latin typeface="Arial"/>
                    <a:ea typeface="Arial"/>
                    <a:cs typeface="Arial"/>
                  </a:rPr>
                  <a:t>Good X</a:t>
                </a:r>
              </a:p>
            </c:rich>
          </c:tx>
          <c:layout/>
          <c:overlay val="0"/>
          <c:spPr>
            <a:noFill/>
            <a:ln>
              <a:noFill/>
            </a:ln>
          </c:spPr>
        </c:title>
        <c:delete val="0"/>
        <c:numFmt formatCode="General" sourceLinked="1"/>
        <c:majorTickMark val="out"/>
        <c:minorTickMark val="none"/>
        <c:tickLblPos val="low"/>
        <c:crossAx val="36997020"/>
        <c:crosses val="autoZero"/>
        <c:auto val="1"/>
        <c:lblOffset val="100"/>
        <c:noMultiLvlLbl val="0"/>
      </c:catAx>
      <c:valAx>
        <c:axId val="36997020"/>
        <c:scaling>
          <c:orientation val="minMax"/>
        </c:scaling>
        <c:axPos val="l"/>
        <c:title>
          <c:tx>
            <c:rich>
              <a:bodyPr vert="horz" rot="-5400000" anchor="ctr"/>
              <a:lstStyle/>
              <a:p>
                <a:pPr algn="ctr">
                  <a:defRPr/>
                </a:pPr>
                <a:r>
                  <a:rPr lang="en-US" cap="none" sz="1200" b="1" i="0" u="none" baseline="0">
                    <a:latin typeface="Arial"/>
                    <a:ea typeface="Arial"/>
                    <a:cs typeface="Arial"/>
                  </a:rPr>
                  <a:t>Utility</a:t>
                </a:r>
              </a:p>
            </c:rich>
          </c:tx>
          <c:layout/>
          <c:overlay val="0"/>
          <c:spPr>
            <a:noFill/>
            <a:ln>
              <a:noFill/>
            </a:ln>
          </c:spPr>
        </c:title>
        <c:majorGridlines/>
        <c:delete val="0"/>
        <c:numFmt formatCode="General" sourceLinked="1"/>
        <c:majorTickMark val="out"/>
        <c:minorTickMark val="none"/>
        <c:tickLblPos val="nextTo"/>
        <c:crossAx val="56306563"/>
        <c:crossesAt val="1"/>
        <c:crossBetween val="between"/>
        <c:dispUnits/>
      </c:valAx>
      <c:serAx>
        <c:axId val="64537725"/>
        <c:scaling>
          <c:orientation val="minMax"/>
        </c:scaling>
        <c:axPos val="b"/>
        <c:title>
          <c:tx>
            <c:rich>
              <a:bodyPr vert="horz" rot="1140000" anchor="ctr"/>
              <a:lstStyle/>
              <a:p>
                <a:pPr algn="ctr">
                  <a:defRPr/>
                </a:pPr>
                <a:r>
                  <a:rPr lang="en-US" cap="none" sz="1200" b="1" i="0" u="none" baseline="0">
                    <a:latin typeface="Arial"/>
                    <a:ea typeface="Arial"/>
                    <a:cs typeface="Arial"/>
                  </a:rPr>
                  <a:t>Good Y</a:t>
                </a:r>
              </a:p>
            </c:rich>
          </c:tx>
          <c:layout/>
          <c:overlay val="0"/>
          <c:spPr>
            <a:noFill/>
            <a:ln>
              <a:noFill/>
            </a:ln>
          </c:spPr>
        </c:title>
        <c:delete val="0"/>
        <c:numFmt formatCode="General" sourceLinked="1"/>
        <c:majorTickMark val="out"/>
        <c:minorTickMark val="none"/>
        <c:tickLblPos val="low"/>
        <c:crossAx val="36997020"/>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1"/>
          <c:h val="1"/>
        </c:manualLayout>
      </c:layout>
      <c:area3DChart>
        <c:grouping val="standard"/>
        <c:varyColors val="0"/>
        <c:ser>
          <c:idx val="1"/>
          <c:order val="0"/>
          <c:tx>
            <c:strRef>
              <c:f>Utility_TwoViews!$B$2</c:f>
              <c:strCache>
                <c:ptCount val="1"/>
                <c:pt idx="0">
                  <c:v>U_Y= Y1</c:v>
                </c:pt>
              </c:strCache>
            </c:strRef>
          </c:tx>
          <c:spPr>
            <a:solidFill>
              <a:srgbClr val="969696"/>
            </a:solidFill>
          </c:spPr>
          <c:extLst>
            <c:ext xmlns:c14="http://schemas.microsoft.com/office/drawing/2007/8/2/chart" uri="{6F2FDCE9-48DA-4B69-8628-5D25D57E5C99}">
              <c14:invertSolidFillFmt>
                <c14:spPr>
                  <a:solidFill>
                    <a:srgbClr val="FFFFFF"/>
                  </a:solidFill>
                </c14:spPr>
              </c14:invertSolidFillFmt>
            </c:ext>
          </c:extLst>
          <c:val>
            <c:numRef>
              <c:f>Utility_TwoViews!$B$3:$B$23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Utility_TwoViews!$C$2</c:f>
              <c:strCache>
                <c:ptCount val="1"/>
                <c:pt idx="0">
                  <c:v>U_Y= Y2</c:v>
                </c:pt>
              </c:strCache>
            </c:strRef>
          </c:tx>
          <c:spPr>
            <a:pattFill prst="pct2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val>
            <c:numRef>
              <c:f>Utility_TwoViews!$C$3:$C$23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3"/>
          <c:order val="2"/>
          <c:tx>
            <c:strRef>
              <c:f>Utility_TwoViews!$D$2</c:f>
              <c:strCache>
                <c:ptCount val="1"/>
                <c:pt idx="0">
                  <c:v>U_Y=Y3</c:v>
                </c:pt>
              </c:strCache>
            </c:strRef>
          </c:tx>
          <c:spPr>
            <a:pattFill prst="smGrid">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val>
            <c:numRef>
              <c:f>Utility_TwoViews!$D$3:$D$23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43968614"/>
        <c:axId val="60173207"/>
        <c:axId val="4687952"/>
      </c:area3DChart>
      <c:catAx>
        <c:axId val="43968614"/>
        <c:scaling>
          <c:orientation val="minMax"/>
        </c:scaling>
        <c:axPos val="b"/>
        <c:title>
          <c:tx>
            <c:rich>
              <a:bodyPr vert="horz" rot="0" anchor="ctr"/>
              <a:lstStyle/>
              <a:p>
                <a:pPr algn="ctr">
                  <a:defRPr/>
                </a:pPr>
                <a:r>
                  <a:rPr lang="en-US" cap="none" sz="1000" b="1" i="0" u="none" baseline="0">
                    <a:latin typeface="Arial"/>
                    <a:ea typeface="Arial"/>
                    <a:cs typeface="Arial"/>
                  </a:rPr>
                  <a:t>Good Y</a:t>
                </a:r>
              </a:p>
            </c:rich>
          </c:tx>
          <c:layout/>
          <c:overlay val="0"/>
          <c:spPr>
            <a:noFill/>
            <a:ln>
              <a:noFill/>
            </a:ln>
          </c:spPr>
        </c:title>
        <c:delete val="1"/>
        <c:majorTickMark val="out"/>
        <c:minorTickMark val="none"/>
        <c:tickLblPos val="low"/>
        <c:txPr>
          <a:bodyPr/>
          <a:lstStyle/>
          <a:p>
            <a:pPr>
              <a:defRPr lang="en-US" cap="none" sz="1000" b="0" i="0" u="none" baseline="0">
                <a:latin typeface="Arial"/>
                <a:ea typeface="Arial"/>
                <a:cs typeface="Arial"/>
              </a:defRPr>
            </a:pPr>
          </a:p>
        </c:txPr>
        <c:crossAx val="60173207"/>
        <c:crosses val="autoZero"/>
        <c:auto val="1"/>
        <c:lblOffset val="100"/>
        <c:noMultiLvlLbl val="0"/>
      </c:catAx>
      <c:valAx>
        <c:axId val="60173207"/>
        <c:scaling>
          <c:orientation val="minMax"/>
          <c:max val="750"/>
          <c:min val="0"/>
        </c:scaling>
        <c:axPos val="l"/>
        <c:title>
          <c:tx>
            <c:rich>
              <a:bodyPr vert="horz" rot="0" anchor="ctr"/>
              <a:lstStyle/>
              <a:p>
                <a:pPr algn="ctr">
                  <a:defRPr/>
                </a:pPr>
                <a:r>
                  <a:rPr lang="en-US" cap="none" sz="1000" b="1" i="0" u="none" baseline="0">
                    <a:latin typeface="Arial"/>
                    <a:ea typeface="Arial"/>
                    <a:cs typeface="Arial"/>
                  </a:rPr>
                  <a:t>Utility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68614"/>
        <c:crossesAt val="1"/>
        <c:crossBetween val="midCat"/>
        <c:dispUnits/>
      </c:valAx>
      <c:serAx>
        <c:axId val="4687952"/>
        <c:scaling>
          <c:orientation val="minMax"/>
        </c:scaling>
        <c:axPos val="b"/>
        <c:delete val="1"/>
        <c:majorTickMark val="out"/>
        <c:minorTickMark val="none"/>
        <c:tickLblPos val="low"/>
        <c:crossAx val="60173207"/>
        <c:crosses val="autoZero"/>
        <c:tickLblSkip val="1"/>
        <c:tickMarkSkip val="1"/>
      </c:serAx>
      <c:spPr>
        <a:noFill/>
        <a:ln>
          <a:noFill/>
        </a:ln>
      </c:spPr>
    </c:plotArea>
    <c:legend>
      <c:legendPos val="r"/>
      <c:layout>
        <c:manualLayout>
          <c:xMode val="edge"/>
          <c:yMode val="edge"/>
          <c:x val="0"/>
          <c:y val="0.708"/>
          <c:w val="0.19475"/>
          <c:h val="0.292"/>
        </c:manualLayout>
      </c:layout>
      <c:overlay val="0"/>
      <c:spPr>
        <a:noFill/>
        <a:ln w="3175">
          <a:noFill/>
        </a:ln>
      </c:spPr>
      <c:txPr>
        <a:bodyPr vert="horz" rot="0"/>
        <a:lstStyle/>
        <a:p>
          <a:pPr>
            <a:defRPr lang="en-US" cap="none" sz="900" b="1" i="0" u="none" baseline="0">
              <a:latin typeface="Arial"/>
              <a:ea typeface="Arial"/>
              <a:cs typeface="Arial"/>
            </a:defRPr>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25"/>
          <c:y val="0"/>
          <c:w val="0.94675"/>
          <c:h val="0.92075"/>
        </c:manualLayout>
      </c:layout>
      <c:scatterChart>
        <c:scatterStyle val="line"/>
        <c:varyColors val="0"/>
        <c:ser>
          <c:idx val="1"/>
          <c:order val="0"/>
          <c:tx>
            <c:v>Budget 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Utility_TwoViews!$A$3:$A$23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Utility_TwoViews!$F$3:$F$23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ser>
          <c:idx val="0"/>
          <c:order val="1"/>
          <c:tx>
            <c:v>Indifference curve for U = U*</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Utility_TwoViews!$A$3:$A$23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Utility_TwoViews!$E$3:$E$23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42191569"/>
        <c:axId val="44179802"/>
      </c:scatterChart>
      <c:valAx>
        <c:axId val="42191569"/>
        <c:scaling>
          <c:orientation val="minMax"/>
        </c:scaling>
        <c:axPos val="b"/>
        <c:title>
          <c:tx>
            <c:rich>
              <a:bodyPr vert="horz" rot="0" anchor="ctr"/>
              <a:lstStyle/>
              <a:p>
                <a:pPr algn="ctr">
                  <a:defRPr/>
                </a:pPr>
                <a:r>
                  <a:rPr lang="en-US" cap="none" sz="950" b="1" i="0" u="none" baseline="0">
                    <a:latin typeface="Arial"/>
                    <a:ea typeface="Arial"/>
                    <a:cs typeface="Arial"/>
                  </a:rPr>
                  <a:t>Good X</a:t>
                </a:r>
              </a:p>
            </c:rich>
          </c:tx>
          <c:layout/>
          <c:overlay val="0"/>
          <c:spPr>
            <a:noFill/>
            <a:ln>
              <a:noFill/>
            </a:ln>
          </c:spPr>
        </c:title>
        <c:delete val="0"/>
        <c:numFmt formatCode="General" sourceLinked="0"/>
        <c:majorTickMark val="out"/>
        <c:minorTickMark val="none"/>
        <c:tickLblPos val="nextTo"/>
        <c:txPr>
          <a:bodyPr/>
          <a:lstStyle/>
          <a:p>
            <a:pPr>
              <a:defRPr lang="en-US" cap="none" sz="950" b="0" i="0" u="none" baseline="0">
                <a:latin typeface="Arial"/>
                <a:ea typeface="Arial"/>
                <a:cs typeface="Arial"/>
              </a:defRPr>
            </a:pPr>
          </a:p>
        </c:txPr>
        <c:crossAx val="44179802"/>
        <c:crosses val="autoZero"/>
        <c:crossBetween val="midCat"/>
        <c:dispUnits/>
      </c:valAx>
      <c:valAx>
        <c:axId val="44179802"/>
        <c:scaling>
          <c:orientation val="minMax"/>
          <c:max val="25"/>
          <c:min val="0"/>
        </c:scaling>
        <c:axPos val="l"/>
        <c:title>
          <c:tx>
            <c:rich>
              <a:bodyPr vert="horz" rot="-5400000" anchor="ctr"/>
              <a:lstStyle/>
              <a:p>
                <a:pPr algn="ctr">
                  <a:defRPr/>
                </a:pPr>
                <a:r>
                  <a:rPr lang="en-US" cap="none" sz="950" b="1" i="0" u="none" baseline="0">
                    <a:latin typeface="Arial"/>
                    <a:ea typeface="Arial"/>
                    <a:cs typeface="Arial"/>
                  </a:rPr>
                  <a:t>Good Y</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2191569"/>
        <c:crosses val="autoZero"/>
        <c:crossBetween val="midCat"/>
        <c:dispUnits/>
      </c:valAx>
      <c:spPr>
        <a:noFill/>
        <a:ln>
          <a:noFill/>
        </a:ln>
      </c:spPr>
    </c:plotArea>
    <c:legend>
      <c:legendPos val="r"/>
      <c:layout>
        <c:manualLayout>
          <c:xMode val="edge"/>
          <c:yMode val="edge"/>
          <c:x val="0.25325"/>
          <c:y val="0.01475"/>
          <c:w val="0.74675"/>
          <c:h val="0.16325"/>
        </c:manualLayout>
      </c:layout>
      <c:overlay val="0"/>
      <c:spPr>
        <a:noFill/>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1"/>
          <c:h val="1"/>
        </c:manualLayout>
      </c:layout>
      <c:scatterChart>
        <c:scatterStyle val="line"/>
        <c:varyColors val="0"/>
        <c:ser>
          <c:idx val="2"/>
          <c:order val="0"/>
          <c:tx>
            <c:v>Budget 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UtilityMaximization!$A$3:$A$31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UtilityMaximization!$B$3:$B$31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3"/>
          <c:order val="1"/>
          <c:tx>
            <c:v>Attainable Indifference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UtilityMaximization!$A$3:$A$31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UtilityMaximization!$C$3:$C$31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62073899"/>
        <c:axId val="21794180"/>
      </c:scatterChart>
      <c:valAx>
        <c:axId val="62073899"/>
        <c:scaling>
          <c:orientation val="minMax"/>
        </c:scaling>
        <c:axPos val="b"/>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1794180"/>
        <c:crosses val="autoZero"/>
        <c:crossBetween val="midCat"/>
        <c:dispUnits/>
      </c:valAx>
      <c:valAx>
        <c:axId val="21794180"/>
        <c:scaling>
          <c:orientation val="minMax"/>
          <c:max val="25"/>
          <c:min val="0"/>
        </c:scaling>
        <c:axPos val="l"/>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62073899"/>
        <c:crosses val="autoZero"/>
        <c:crossBetween val="midCat"/>
        <c:dispUnits/>
      </c:valAx>
      <c:spPr>
        <a:noFill/>
        <a:ln>
          <a:noFill/>
        </a:ln>
      </c:spPr>
    </c:plotArea>
    <c:legend>
      <c:legendPos val="r"/>
      <c:layout>
        <c:manualLayout>
          <c:xMode val="edge"/>
          <c:yMode val="edge"/>
          <c:x val="0.533"/>
          <c:y val="0"/>
          <c:w val="0.43475"/>
          <c:h val="0.125"/>
        </c:manualLayout>
      </c:layout>
      <c:overlay val="0"/>
      <c:spPr>
        <a:noFill/>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2"/>
          <c:order val="0"/>
          <c:tx>
            <c:v>Initial Budget 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'Income Change'!$B$4:$B$32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'Income Change'!$C$4:$C$32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3"/>
          <c:order val="1"/>
          <c:tx>
            <c:v>Initial Indifference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'Income Change'!$B$4:$B$32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'Income Change'!$D$4:$D$32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0"/>
          <c:order val="2"/>
          <c:tx>
            <c:v>New Budget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00"/>
                </a:solidFill>
              </a:ln>
            </c:spPr>
          </c:marker>
          <c:xVal>
            <c:numRef>
              <c:f>'Income Change'!$B$4:$B$32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'Income Change'!$E$4:$E$32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1"/>
          <c:order val="3"/>
          <c:tx>
            <c:v>New Indifference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'Income Change'!$B$4:$B$32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'Income Change'!$F$4:$F$32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4"/>
          <c:order val="4"/>
          <c:tx>
            <c:v>Income-Consumption Curve</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'Income Change'!$B$4:$B$32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'Income Change'!$G$4:$G$34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61929893"/>
        <c:axId val="20498126"/>
      </c:scatterChart>
      <c:valAx>
        <c:axId val="61929893"/>
        <c:scaling>
          <c:orientation val="minMax"/>
        </c:scaling>
        <c:axPos val="b"/>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0498126"/>
        <c:crosses val="autoZero"/>
        <c:crossBetween val="midCat"/>
        <c:dispUnits/>
      </c:valAx>
      <c:valAx>
        <c:axId val="20498126"/>
        <c:scaling>
          <c:orientation val="minMax"/>
          <c:max val="35"/>
          <c:min val="0"/>
        </c:scaling>
        <c:axPos val="l"/>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61929893"/>
        <c:crosses val="autoZero"/>
        <c:crossBetween val="midCat"/>
        <c:dispUnits/>
      </c:valAx>
      <c:spPr>
        <a:noFill/>
        <a:ln>
          <a:noFill/>
        </a:ln>
      </c:spPr>
    </c:plotArea>
    <c:legend>
      <c:legendPos val="r"/>
      <c:layout>
        <c:manualLayout>
          <c:xMode val="edge"/>
          <c:yMode val="edge"/>
          <c:x val="0.50425"/>
          <c:y val="0"/>
          <c:w val="0.487"/>
          <c:h val="0.2025"/>
        </c:manualLayout>
      </c:layout>
      <c:overlay val="0"/>
      <c:spPr>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New Budget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00"/>
                </a:solidFill>
              </a:ln>
            </c:spPr>
          </c:marker>
          <c:xVal>
            <c:numRef>
              <c:f>'Changes no_compensation'!$A$2:$A$30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no_compensation'!$D$2:$D$30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1"/>
          <c:order val="1"/>
          <c:tx>
            <c:v>New Indifference Curve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'Changes no_compensation'!$A$2:$A$30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no_compensation'!$E$2:$E$30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2"/>
          <c:order val="2"/>
          <c:tx>
            <c:v>Initial Budget 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'Changes no_compensation'!$A$2:$A$30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no_compensation'!$B$2:$B$30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3"/>
          <c:order val="3"/>
          <c:tx>
            <c:v>Initial Indifference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'Changes no_compensation'!$A$2:$A$30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no_compensation'!$C$2:$C$30</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50265407"/>
        <c:axId val="49735480"/>
      </c:scatterChart>
      <c:valAx>
        <c:axId val="50265407"/>
        <c:scaling>
          <c:orientation val="minMax"/>
        </c:scaling>
        <c:axPos val="b"/>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9735480"/>
        <c:crosses val="autoZero"/>
        <c:crossBetween val="midCat"/>
        <c:dispUnits/>
      </c:valAx>
      <c:valAx>
        <c:axId val="49735480"/>
        <c:scaling>
          <c:orientation val="minMax"/>
          <c:max val="25"/>
          <c:min val="0"/>
        </c:scaling>
        <c:axPos val="l"/>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50265407"/>
        <c:crosses val="autoZero"/>
        <c:crossBetween val="midCat"/>
        <c:dispUnits/>
      </c:valAx>
      <c:spPr>
        <a:noFill/>
        <a:ln>
          <a:noFill/>
        </a:ln>
      </c:spPr>
    </c:plotArea>
    <c:legend>
      <c:legendPos val="r"/>
      <c:layout>
        <c:manualLayout>
          <c:xMode val="edge"/>
          <c:yMode val="edge"/>
          <c:x val="0.562"/>
          <c:y val="0.0065"/>
          <c:w val="0.4155"/>
          <c:h val="0.191"/>
        </c:manualLayout>
      </c:layout>
      <c:overlay val="0"/>
      <c:spPr>
        <a:noFill/>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2"/>
          <c:order val="0"/>
          <c:tx>
            <c:v>Initial Budget 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'Price Change no Compensation'!$B$4:$B$32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'Price Change no Compensation'!$C$4:$C$32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3"/>
          <c:order val="1"/>
          <c:tx>
            <c:v>Initial Indifference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'Price Change no Compensation'!$B$4:$B$32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'Price Change no Compensation'!$D$4:$D$32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0"/>
          <c:order val="2"/>
          <c:tx>
            <c:v>New Budget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00"/>
                </a:solidFill>
              </a:ln>
            </c:spPr>
          </c:marker>
          <c:xVal>
            <c:numRef>
              <c:f>'Price Change no Compensation'!$B$4:$B$32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'Price Change no Compensation'!$E$4:$E$32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1"/>
          <c:order val="3"/>
          <c:tx>
            <c:v>New Indifference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'Price Change no Compensation'!$B$4:$B$32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'Price Change no Compensation'!$F$4:$F$32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axId val="44966137"/>
        <c:axId val="2042050"/>
      </c:scatterChart>
      <c:valAx>
        <c:axId val="44966137"/>
        <c:scaling>
          <c:orientation val="minMax"/>
        </c:scaling>
        <c:axPos val="b"/>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042050"/>
        <c:crosses val="autoZero"/>
        <c:crossBetween val="midCat"/>
        <c:dispUnits/>
      </c:valAx>
      <c:valAx>
        <c:axId val="2042050"/>
        <c:scaling>
          <c:orientation val="minMax"/>
          <c:max val="35"/>
          <c:min val="0"/>
        </c:scaling>
        <c:axPos val="l"/>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4966137"/>
        <c:crosses val="autoZero"/>
        <c:crossBetween val="midCat"/>
        <c:dispUnits/>
      </c:valAx>
      <c:spPr>
        <a:noFill/>
        <a:ln>
          <a:noFill/>
        </a:ln>
      </c:spPr>
    </c:plotArea>
    <c:legend>
      <c:legendPos val="r"/>
      <c:layout>
        <c:manualLayout>
          <c:xMode val="edge"/>
          <c:yMode val="edge"/>
          <c:x val="0.49575"/>
          <c:y val="0"/>
          <c:w val="0.487"/>
          <c:h val="0.2025"/>
        </c:manualLayout>
      </c:layout>
      <c:overlay val="0"/>
      <c:spPr>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
        <c:varyColors val="0"/>
        <c:ser>
          <c:idx val="0"/>
          <c:order val="0"/>
          <c:tx>
            <c:v>Budget Line with Compensation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'Changes w_compensation'!$B$3:$B$33</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'Changes w_compensation'!$E$3:$E$33</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ser>
          <c:idx val="2"/>
          <c:order val="1"/>
          <c:tx>
            <c:v>Initial Budget 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'Changes w_compensation'!$B$3:$B$31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w_compensation'!$C$3:$C$31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3"/>
          <c:order val="2"/>
          <c:tx>
            <c:v>Initial Indifference Curve = Indifference Curve with Compensation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'Changes w_compensation'!$B$3:$B$31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w_compensation'!$D$3:$D$31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yVal>
          <c:smooth val="0"/>
        </c:ser>
        <c:ser>
          <c:idx val="4"/>
          <c:order val="3"/>
          <c:tx>
            <c:v>Budget Line, No Compensation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00"/>
                </a:solidFill>
              </a:ln>
            </c:spPr>
          </c:marker>
          <c:xVal>
            <c:numRef>
              <c:f>'Changes w_compensation'!$B$3:$B$31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xVal>
          <c:yVal>
            <c:numRef>
              <c:f>'Changes no_compensation'!$D$2:$D$32</c:f>
              <c:numCache>
                <c:ptCount val="31"/>
                <c:pt idx="0">
                  <c:v>20</c:v>
                </c:pt>
                <c:pt idx="1">
                  <c:v>19.25</c:v>
                </c:pt>
                <c:pt idx="2">
                  <c:v>18.5</c:v>
                </c:pt>
                <c:pt idx="3">
                  <c:v>17.75</c:v>
                </c:pt>
                <c:pt idx="4">
                  <c:v>17</c:v>
                </c:pt>
                <c:pt idx="5">
                  <c:v>16.25</c:v>
                </c:pt>
                <c:pt idx="6">
                  <c:v>15.5</c:v>
                </c:pt>
                <c:pt idx="7">
                  <c:v>14.75</c:v>
                </c:pt>
                <c:pt idx="8">
                  <c:v>14</c:v>
                </c:pt>
                <c:pt idx="9">
                  <c:v>13.25</c:v>
                </c:pt>
                <c:pt idx="10">
                  <c:v>12.5</c:v>
                </c:pt>
                <c:pt idx="11">
                  <c:v>11.75</c:v>
                </c:pt>
                <c:pt idx="12">
                  <c:v>11</c:v>
                </c:pt>
                <c:pt idx="13">
                  <c:v>10.25</c:v>
                </c:pt>
                <c:pt idx="14">
                  <c:v>9.5</c:v>
                </c:pt>
                <c:pt idx="15">
                  <c:v>8.75</c:v>
                </c:pt>
                <c:pt idx="16">
                  <c:v>8</c:v>
                </c:pt>
                <c:pt idx="17">
                  <c:v>7.25</c:v>
                </c:pt>
                <c:pt idx="18">
                  <c:v>6.5</c:v>
                </c:pt>
                <c:pt idx="19">
                  <c:v>5.75</c:v>
                </c:pt>
                <c:pt idx="20">
                  <c:v>5</c:v>
                </c:pt>
                <c:pt idx="21">
                  <c:v>4.25</c:v>
                </c:pt>
                <c:pt idx="22">
                  <c:v>3.5</c:v>
                </c:pt>
                <c:pt idx="23">
                  <c:v>2.75</c:v>
                </c:pt>
                <c:pt idx="24">
                  <c:v>2</c:v>
                </c:pt>
                <c:pt idx="25">
                  <c:v>1.25</c:v>
                </c:pt>
                <c:pt idx="26">
                  <c:v>0.5</c:v>
                </c:pt>
                <c:pt idx="27">
                  <c:v>-0.25</c:v>
                </c:pt>
                <c:pt idx="28">
                  <c:v>-1</c:v>
                </c:pt>
                <c:pt idx="29">
                  <c:v>-1.75</c:v>
                </c:pt>
                <c:pt idx="30">
                  <c:v>-2.5</c:v>
                </c:pt>
              </c:numCache>
            </c:numRef>
          </c:yVal>
          <c:smooth val="0"/>
        </c:ser>
        <c:ser>
          <c:idx val="5"/>
          <c:order val="4"/>
          <c:tx>
            <c:v>Indifference Curve, No Compensation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'Changes w_compensation'!$B$3:$B$33</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'Changes no_compensation'!$E$2:$E$32</c:f>
              <c:numCache>
                <c:ptCount val="31"/>
                <c:pt idx="2">
                  <c:v>24.88818608753846</c:v>
                </c:pt>
                <c:pt idx="3">
                  <c:v>22.377505643255226</c:v>
                </c:pt>
                <c:pt idx="4">
                  <c:v>20.362414175124215</c:v>
                </c:pt>
                <c:pt idx="5">
                  <c:v>18.66442591299876</c:v>
                </c:pt>
                <c:pt idx="6">
                  <c:v>17.191914875876996</c:v>
                </c:pt>
                <c:pt idx="7">
                  <c:v>15.890409562127045</c:v>
                </c:pt>
                <c:pt idx="8">
                  <c:v>14.724396024676567</c:v>
                </c:pt>
                <c:pt idx="9">
                  <c:v>13.66919244738749</c:v>
                </c:pt>
                <c:pt idx="10">
                  <c:v>12.706819260292281</c:v>
                </c:pt>
                <c:pt idx="11">
                  <c:v>11.82369729006748</c:v>
                </c:pt>
                <c:pt idx="12">
                  <c:v>11.009272587017621</c:v>
                </c:pt>
                <c:pt idx="13">
                  <c:v>10.255149021697001</c:v>
                </c:pt>
                <c:pt idx="14">
                  <c:v>9.554516703374231</c:v>
                </c:pt>
                <c:pt idx="15">
                  <c:v>8.901761517081123</c:v>
                </c:pt>
                <c:pt idx="16">
                  <c:v>8.292190205993595</c:v>
                </c:pt>
                <c:pt idx="17">
                  <c:v>7.721831764341162</c:v>
                </c:pt>
                <c:pt idx="18">
                  <c:v>7.187290742775845</c:v>
                </c:pt>
                <c:pt idx="19">
                  <c:v>6.685636784488463</c:v>
                </c:pt>
                <c:pt idx="20">
                  <c:v>6.214320019548379</c:v>
                </c:pt>
                <c:pt idx="21">
                  <c:v>5.771105282096362</c:v>
                </c:pt>
                <c:pt idx="22">
                  <c:v>5.354020271369007</c:v>
                </c:pt>
                <c:pt idx="23">
                  <c:v>4.96131420539482</c:v>
                </c:pt>
                <c:pt idx="24">
                  <c:v>4.591424482550293</c:v>
                </c:pt>
                <c:pt idx="25">
                  <c:v>4.242949533114693</c:v>
                </c:pt>
                <c:pt idx="26">
                  <c:v>3.9146265114997276</c:v>
                </c:pt>
                <c:pt idx="27">
                  <c:v>3.6053128143128097</c:v>
                </c:pt>
                <c:pt idx="28">
                  <c:v>3.313970651723379</c:v>
                </c:pt>
                <c:pt idx="29">
                  <c:v>3.0396540775124405</c:v>
                </c:pt>
                <c:pt idx="30">
                  <c:v>2.7814980154359157</c:v>
                </c:pt>
              </c:numCache>
            </c:numRef>
          </c:yVal>
          <c:smooth val="0"/>
        </c:ser>
        <c:axId val="18378451"/>
        <c:axId val="31188332"/>
      </c:scatterChart>
      <c:valAx>
        <c:axId val="18378451"/>
        <c:scaling>
          <c:orientation val="minMax"/>
        </c:scaling>
        <c:axPos val="b"/>
        <c:delete val="0"/>
        <c:numFmt formatCode="General" sourceLinked="0"/>
        <c:majorTickMark val="out"/>
        <c:minorTickMark val="none"/>
        <c:tickLblPos val="nextTo"/>
        <c:crossAx val="31188332"/>
        <c:crosses val="autoZero"/>
        <c:crossBetween val="midCat"/>
        <c:dispUnits/>
      </c:valAx>
      <c:valAx>
        <c:axId val="31188332"/>
        <c:scaling>
          <c:orientation val="minMax"/>
          <c:max val="25"/>
          <c:min val="0"/>
        </c:scaling>
        <c:axPos val="l"/>
        <c:delete val="0"/>
        <c:numFmt formatCode="General" sourceLinked="0"/>
        <c:majorTickMark val="out"/>
        <c:minorTickMark val="none"/>
        <c:tickLblPos val="nextTo"/>
        <c:crossAx val="18378451"/>
        <c:crosses val="autoZero"/>
        <c:crossBetween val="midCat"/>
        <c:dispUnits/>
      </c:valAx>
      <c:spPr>
        <a:noFill/>
        <a:ln>
          <a:noFill/>
        </a:ln>
      </c:spPr>
    </c:plotArea>
    <c:legend>
      <c:legendPos val="r"/>
      <c:layout>
        <c:manualLayout>
          <c:xMode val="edge"/>
          <c:yMode val="edge"/>
          <c:x val="0.371"/>
          <c:y val="0.0485"/>
          <c:w val="0.59825"/>
          <c:h val="0.39025"/>
        </c:manualLayout>
      </c:layout>
      <c:overlay val="0"/>
      <c:spPr>
        <a:noFill/>
        <a:ln w="3175">
          <a:noFill/>
        </a:ln>
      </c:spPr>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28575</xdr:rowOff>
    </xdr:from>
    <xdr:to>
      <xdr:col>8</xdr:col>
      <xdr:colOff>142875</xdr:colOff>
      <xdr:row>7</xdr:row>
      <xdr:rowOff>57150</xdr:rowOff>
    </xdr:to>
    <xdr:sp>
      <xdr:nvSpPr>
        <xdr:cNvPr id="1" name="TextBox 1"/>
        <xdr:cNvSpPr txBox="1">
          <a:spLocks noChangeArrowheads="1"/>
        </xdr:cNvSpPr>
      </xdr:nvSpPr>
      <xdr:spPr>
        <a:xfrm>
          <a:off x="171450" y="352425"/>
          <a:ext cx="564832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Consumer Theory based on </a:t>
          </a:r>
          <a:r>
            <a:rPr lang="en-US" cap="none" sz="1000" b="1" i="0" u="sng" baseline="0">
              <a:latin typeface="Arial"/>
              <a:ea typeface="Arial"/>
              <a:cs typeface="Arial"/>
            </a:rPr>
            <a:t>Constant Elasticity of Substitution</a:t>
          </a:r>
          <a:r>
            <a:rPr lang="en-US" cap="none" sz="1000" b="1" i="0" u="none" baseline="0">
              <a:latin typeface="Arial"/>
              <a:ea typeface="Arial"/>
              <a:cs typeface="Arial"/>
            </a:rPr>
            <a:t> utility functions. 
The large buttons provide navigation. Clicking on a button moves you to the indicated sheet.
Placing the cursor on the cell below a button provides a brief overview of the sheet.</a:t>
          </a:r>
        </a:p>
      </xdr:txBody>
    </xdr:sp>
    <xdr:clientData/>
  </xdr:twoCellAnchor>
  <xdr:twoCellAnchor>
    <xdr:from>
      <xdr:col>3</xdr:col>
      <xdr:colOff>0</xdr:colOff>
      <xdr:row>18</xdr:row>
      <xdr:rowOff>95250</xdr:rowOff>
    </xdr:from>
    <xdr:to>
      <xdr:col>6</xdr:col>
      <xdr:colOff>9525</xdr:colOff>
      <xdr:row>20</xdr:row>
      <xdr:rowOff>104775</xdr:rowOff>
    </xdr:to>
    <xdr:sp>
      <xdr:nvSpPr>
        <xdr:cNvPr id="2" name="TextBox 13"/>
        <xdr:cNvSpPr txBox="1">
          <a:spLocks noChangeArrowheads="1"/>
        </xdr:cNvSpPr>
      </xdr:nvSpPr>
      <xdr:spPr>
        <a:xfrm>
          <a:off x="1600200" y="3009900"/>
          <a:ext cx="2667000" cy="333375"/>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If you cannot see cell N25 then set the zoom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247650</xdr:colOff>
      <xdr:row>20</xdr:row>
      <xdr:rowOff>104775</xdr:rowOff>
    </xdr:from>
    <xdr:to>
      <xdr:col>21</xdr:col>
      <xdr:colOff>381000</xdr:colOff>
      <xdr:row>42</xdr:row>
      <xdr:rowOff>142875</xdr:rowOff>
    </xdr:to>
    <xdr:sp>
      <xdr:nvSpPr>
        <xdr:cNvPr id="1" name="TextBox 12"/>
        <xdr:cNvSpPr txBox="1">
          <a:spLocks noChangeArrowheads="1"/>
        </xdr:cNvSpPr>
      </xdr:nvSpPr>
      <xdr:spPr>
        <a:xfrm>
          <a:off x="9791700" y="3400425"/>
          <a:ext cx="318135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area  area bounded by the two prices and to the left of the uncompensated demand curve is the measure of the change in Consumer Surplus due to the price change, as indicated by the uncompensated demand curve.
The area is approximated using Simpson's rule and the trapezoidal rule. Both provide estimates within one cent of each other, given the values in this workbook. The value from applying Simpson's rule is presented in the table. 
The trapezoidal rule provides a relatively easy way to check for approximation error. Upper and lower bounds are easily computed, and the value of the actual integral (the area to be determined) is between these two bounds. These bounds provide the basis for the minimum and maximum percentage differences between actual consumer surplus and the estimate based on the uncompensated demand curve.</a:t>
          </a:r>
        </a:p>
      </xdr:txBody>
    </xdr:sp>
    <xdr:clientData/>
  </xdr:twoCellAnchor>
  <xdr:twoCellAnchor>
    <xdr:from>
      <xdr:col>9</xdr:col>
      <xdr:colOff>104775</xdr:colOff>
      <xdr:row>1</xdr:row>
      <xdr:rowOff>142875</xdr:rowOff>
    </xdr:from>
    <xdr:to>
      <xdr:col>9</xdr:col>
      <xdr:colOff>561975</xdr:colOff>
      <xdr:row>1</xdr:row>
      <xdr:rowOff>142875</xdr:rowOff>
    </xdr:to>
    <xdr:sp>
      <xdr:nvSpPr>
        <xdr:cNvPr id="2" name="Line 21"/>
        <xdr:cNvSpPr>
          <a:spLocks/>
        </xdr:cNvSpPr>
      </xdr:nvSpPr>
      <xdr:spPr>
        <a:xfrm>
          <a:off x="6191250" y="304800"/>
          <a:ext cx="457200" cy="0"/>
        </a:xfrm>
        <a:prstGeom prst="line">
          <a:avLst/>
        </a:prstGeom>
        <a:noFill/>
        <a:ln w="285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xdr:row>
      <xdr:rowOff>123825</xdr:rowOff>
    </xdr:from>
    <xdr:to>
      <xdr:col>9</xdr:col>
      <xdr:colOff>561975</xdr:colOff>
      <xdr:row>2</xdr:row>
      <xdr:rowOff>123825</xdr:rowOff>
    </xdr:to>
    <xdr:sp>
      <xdr:nvSpPr>
        <xdr:cNvPr id="3" name="Line 22"/>
        <xdr:cNvSpPr>
          <a:spLocks/>
        </xdr:cNvSpPr>
      </xdr:nvSpPr>
      <xdr:spPr>
        <a:xfrm>
          <a:off x="6191250" y="485775"/>
          <a:ext cx="4572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xdr:row>
      <xdr:rowOff>0</xdr:rowOff>
    </xdr:from>
    <xdr:to>
      <xdr:col>13</xdr:col>
      <xdr:colOff>190500</xdr:colOff>
      <xdr:row>19</xdr:row>
      <xdr:rowOff>0</xdr:rowOff>
    </xdr:to>
    <xdr:graphicFrame>
      <xdr:nvGraphicFramePr>
        <xdr:cNvPr id="4" name="Chart 30"/>
        <xdr:cNvGraphicFramePr/>
      </xdr:nvGraphicFramePr>
      <xdr:xfrm>
        <a:off x="4181475" y="161925"/>
        <a:ext cx="4533900" cy="2971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xdr:colOff>
      <xdr:row>1</xdr:row>
      <xdr:rowOff>142875</xdr:rowOff>
    </xdr:from>
    <xdr:to>
      <xdr:col>15</xdr:col>
      <xdr:colOff>533400</xdr:colOff>
      <xdr:row>23</xdr:row>
      <xdr:rowOff>19050</xdr:rowOff>
    </xdr:to>
    <xdr:graphicFrame>
      <xdr:nvGraphicFramePr>
        <xdr:cNvPr id="1" name="Chart 5"/>
        <xdr:cNvGraphicFramePr/>
      </xdr:nvGraphicFramePr>
      <xdr:xfrm>
        <a:off x="2857500" y="304800"/>
        <a:ext cx="4972050" cy="3457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85725</xdr:rowOff>
    </xdr:from>
    <xdr:to>
      <xdr:col>14</xdr:col>
      <xdr:colOff>9525</xdr:colOff>
      <xdr:row>23</xdr:row>
      <xdr:rowOff>66675</xdr:rowOff>
    </xdr:to>
    <xdr:graphicFrame>
      <xdr:nvGraphicFramePr>
        <xdr:cNvPr id="1" name="Chart 36"/>
        <xdr:cNvGraphicFramePr/>
      </xdr:nvGraphicFramePr>
      <xdr:xfrm>
        <a:off x="2714625" y="85725"/>
        <a:ext cx="5438775"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19050</xdr:colOff>
      <xdr:row>0</xdr:row>
      <xdr:rowOff>9525</xdr:rowOff>
    </xdr:from>
    <xdr:to>
      <xdr:col>14</xdr:col>
      <xdr:colOff>19050</xdr:colOff>
      <xdr:row>12</xdr:row>
      <xdr:rowOff>76200</xdr:rowOff>
    </xdr:to>
    <xdr:graphicFrame>
      <xdr:nvGraphicFramePr>
        <xdr:cNvPr id="1" name="Chart 2"/>
        <xdr:cNvGraphicFramePr/>
      </xdr:nvGraphicFramePr>
      <xdr:xfrm>
        <a:off x="5219700" y="9525"/>
        <a:ext cx="3657600" cy="200977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19050</xdr:colOff>
      <xdr:row>12</xdr:row>
      <xdr:rowOff>95250</xdr:rowOff>
    </xdr:from>
    <xdr:to>
      <xdr:col>14</xdr:col>
      <xdr:colOff>19050</xdr:colOff>
      <xdr:row>25</xdr:row>
      <xdr:rowOff>0</xdr:rowOff>
    </xdr:to>
    <xdr:graphicFrame>
      <xdr:nvGraphicFramePr>
        <xdr:cNvPr id="2" name="Chart 3"/>
        <xdr:cNvGraphicFramePr/>
      </xdr:nvGraphicFramePr>
      <xdr:xfrm>
        <a:off x="5219700" y="2038350"/>
        <a:ext cx="3657600" cy="2009775"/>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13</xdr:row>
      <xdr:rowOff>47625</xdr:rowOff>
    </xdr:from>
    <xdr:to>
      <xdr:col>8</xdr:col>
      <xdr:colOff>9525</xdr:colOff>
      <xdr:row>19</xdr:row>
      <xdr:rowOff>57150</xdr:rowOff>
    </xdr:to>
    <xdr:sp>
      <xdr:nvSpPr>
        <xdr:cNvPr id="3" name="TextBox 4"/>
        <xdr:cNvSpPr txBox="1">
          <a:spLocks noChangeArrowheads="1"/>
        </xdr:cNvSpPr>
      </xdr:nvSpPr>
      <xdr:spPr>
        <a:xfrm>
          <a:off x="3990975" y="2152650"/>
          <a:ext cx="121920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Change the utility level until the resulting indifference curve looks tangent to the budget 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xdr:colOff>
      <xdr:row>6</xdr:row>
      <xdr:rowOff>9525</xdr:rowOff>
    </xdr:from>
    <xdr:to>
      <xdr:col>12</xdr:col>
      <xdr:colOff>352425</xdr:colOff>
      <xdr:row>25</xdr:row>
      <xdr:rowOff>142875</xdr:rowOff>
    </xdr:to>
    <xdr:graphicFrame>
      <xdr:nvGraphicFramePr>
        <xdr:cNvPr id="1" name="Chart 1"/>
        <xdr:cNvGraphicFramePr/>
      </xdr:nvGraphicFramePr>
      <xdr:xfrm>
        <a:off x="1666875" y="990600"/>
        <a:ext cx="5410200" cy="3209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2</xdr:row>
      <xdr:rowOff>19050</xdr:rowOff>
    </xdr:from>
    <xdr:to>
      <xdr:col>14</xdr:col>
      <xdr:colOff>581025</xdr:colOff>
      <xdr:row>20</xdr:row>
      <xdr:rowOff>152400</xdr:rowOff>
    </xdr:to>
    <xdr:graphicFrame>
      <xdr:nvGraphicFramePr>
        <xdr:cNvPr id="1" name="Chart 1"/>
        <xdr:cNvGraphicFramePr/>
      </xdr:nvGraphicFramePr>
      <xdr:xfrm>
        <a:off x="3867150" y="342900"/>
        <a:ext cx="4448175" cy="3048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38100</xdr:colOff>
      <xdr:row>6</xdr:row>
      <xdr:rowOff>38100</xdr:rowOff>
    </xdr:from>
    <xdr:to>
      <xdr:col>14</xdr:col>
      <xdr:colOff>180975</xdr:colOff>
      <xdr:row>24</xdr:row>
      <xdr:rowOff>152400</xdr:rowOff>
    </xdr:to>
    <xdr:graphicFrame>
      <xdr:nvGraphicFramePr>
        <xdr:cNvPr id="1" name="Chart 1"/>
        <xdr:cNvGraphicFramePr/>
      </xdr:nvGraphicFramePr>
      <xdr:xfrm>
        <a:off x="2905125" y="1057275"/>
        <a:ext cx="4762500" cy="3028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2</xdr:row>
      <xdr:rowOff>19050</xdr:rowOff>
    </xdr:from>
    <xdr:to>
      <xdr:col>14</xdr:col>
      <xdr:colOff>600075</xdr:colOff>
      <xdr:row>20</xdr:row>
      <xdr:rowOff>152400</xdr:rowOff>
    </xdr:to>
    <xdr:graphicFrame>
      <xdr:nvGraphicFramePr>
        <xdr:cNvPr id="1" name="Chart 1"/>
        <xdr:cNvGraphicFramePr/>
      </xdr:nvGraphicFramePr>
      <xdr:xfrm>
        <a:off x="3848100" y="342900"/>
        <a:ext cx="4448175" cy="3048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47625</xdr:colOff>
      <xdr:row>7</xdr:row>
      <xdr:rowOff>9525</xdr:rowOff>
    </xdr:from>
    <xdr:to>
      <xdr:col>14</xdr:col>
      <xdr:colOff>409575</xdr:colOff>
      <xdr:row>25</xdr:row>
      <xdr:rowOff>133350</xdr:rowOff>
    </xdr:to>
    <xdr:graphicFrame>
      <xdr:nvGraphicFramePr>
        <xdr:cNvPr id="1" name="Chart 1"/>
        <xdr:cNvGraphicFramePr/>
      </xdr:nvGraphicFramePr>
      <xdr:xfrm>
        <a:off x="3057525" y="1200150"/>
        <a:ext cx="4733925" cy="3038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2:W80"/>
  <sheetViews>
    <sheetView tabSelected="1" workbookViewId="0" topLeftCell="A1">
      <selection activeCell="A1" sqref="A1"/>
    </sheetView>
  </sheetViews>
  <sheetFormatPr defaultColWidth="9.140625" defaultRowHeight="12.75"/>
  <cols>
    <col min="1" max="1" width="2.7109375" style="51" customWidth="1"/>
    <col min="2" max="2" width="18.57421875" style="51" customWidth="1"/>
    <col min="3" max="3" width="2.7109375" style="51" customWidth="1"/>
    <col min="4" max="4" width="18.57421875" style="51" customWidth="1"/>
    <col min="5" max="5" width="2.7109375" style="51" customWidth="1"/>
    <col min="6" max="6" width="18.57421875" style="51" customWidth="1"/>
    <col min="7" max="7" width="2.7109375" style="51" customWidth="1"/>
    <col min="8" max="8" width="18.57421875" style="51" customWidth="1"/>
    <col min="9" max="9" width="2.7109375" style="51" customWidth="1"/>
    <col min="10" max="10" width="18.7109375" style="51" customWidth="1"/>
    <col min="11" max="11" width="2.7109375" style="51" customWidth="1"/>
    <col min="12" max="12" width="18.7109375" style="51" customWidth="1"/>
    <col min="13" max="13" width="2.7109375" style="51" customWidth="1"/>
    <col min="14" max="14" width="9.140625" style="51" customWidth="1"/>
    <col min="15" max="15" width="2.7109375" style="51" customWidth="1"/>
    <col min="16" max="16" width="9.140625" style="51" customWidth="1"/>
    <col min="17" max="17" width="2.7109375" style="51" customWidth="1"/>
    <col min="18" max="19" width="9.140625" style="51" customWidth="1"/>
  </cols>
  <sheetData>
    <row r="1" ht="12.75"/>
    <row r="2" spans="1:19" s="3" customFormat="1" ht="12.75">
      <c r="A2" s="51"/>
      <c r="B2" s="66"/>
      <c r="C2" s="66"/>
      <c r="D2" s="66"/>
      <c r="E2" s="66"/>
      <c r="F2" s="66"/>
      <c r="G2" s="66"/>
      <c r="H2" s="66"/>
      <c r="I2" s="51"/>
      <c r="J2" s="51"/>
      <c r="K2" s="51"/>
      <c r="L2" s="51"/>
      <c r="M2" s="51"/>
      <c r="N2" s="51"/>
      <c r="O2" s="51"/>
      <c r="P2" s="51"/>
      <c r="Q2" s="51"/>
      <c r="R2" s="51"/>
      <c r="S2" s="51"/>
    </row>
    <row r="3" spans="20:23" ht="12.75">
      <c r="T3" s="3"/>
      <c r="U3" s="3"/>
      <c r="V3" s="3"/>
      <c r="W3" s="3"/>
    </row>
    <row r="4" spans="20:23" ht="12.75">
      <c r="T4" s="3"/>
      <c r="U4" s="3"/>
      <c r="V4" s="3"/>
      <c r="W4" s="3"/>
    </row>
    <row r="5" spans="20:23" ht="12.75">
      <c r="T5" s="3"/>
      <c r="U5" s="3"/>
      <c r="V5" s="3"/>
      <c r="W5" s="3"/>
    </row>
    <row r="6" spans="20:23" ht="12.75">
      <c r="T6" s="3"/>
      <c r="U6" s="3"/>
      <c r="V6" s="3"/>
      <c r="W6" s="3"/>
    </row>
    <row r="7" spans="20:23" ht="12.75">
      <c r="T7" s="3"/>
      <c r="U7" s="3"/>
      <c r="V7" s="3"/>
      <c r="W7" s="3"/>
    </row>
    <row r="8" spans="20:23" ht="12.75">
      <c r="T8" s="3"/>
      <c r="U8" s="3"/>
      <c r="V8" s="3"/>
      <c r="W8" s="3"/>
    </row>
    <row r="9" spans="20:23" ht="12.75">
      <c r="T9" s="3"/>
      <c r="U9" s="3"/>
      <c r="V9" s="3"/>
      <c r="W9" s="3"/>
    </row>
    <row r="10" spans="20:23" ht="12.75">
      <c r="T10" s="3"/>
      <c r="U10" s="3"/>
      <c r="V10" s="3"/>
      <c r="W10" s="3"/>
    </row>
    <row r="11" spans="20:23" ht="12.75">
      <c r="T11" s="3"/>
      <c r="U11" s="3"/>
      <c r="V11" s="3"/>
      <c r="W11" s="3"/>
    </row>
    <row r="12" spans="2:23" ht="12.75">
      <c r="B12" s="49" t="s">
        <v>51</v>
      </c>
      <c r="D12" s="49" t="s">
        <v>51</v>
      </c>
      <c r="F12" s="49" t="s">
        <v>51</v>
      </c>
      <c r="H12" s="49" t="s">
        <v>51</v>
      </c>
      <c r="T12" s="3"/>
      <c r="U12" s="3"/>
      <c r="V12" s="3"/>
      <c r="W12" s="3"/>
    </row>
    <row r="13" spans="20:23" ht="12.75">
      <c r="T13" s="3"/>
      <c r="U13" s="3"/>
      <c r="V13" s="3"/>
      <c r="W13" s="3"/>
    </row>
    <row r="14" spans="20:23" ht="12.75">
      <c r="T14" s="3"/>
      <c r="U14" s="3"/>
      <c r="V14" s="3"/>
      <c r="W14" s="3"/>
    </row>
    <row r="15" spans="20:23" ht="12.75">
      <c r="T15" s="3"/>
      <c r="U15" s="3"/>
      <c r="V15" s="3"/>
      <c r="W15" s="3"/>
    </row>
    <row r="16" spans="20:23" ht="12.75">
      <c r="T16" s="3"/>
      <c r="U16" s="3"/>
      <c r="V16" s="3"/>
      <c r="W16" s="3"/>
    </row>
    <row r="17" spans="2:23" ht="12.75">
      <c r="B17" s="49" t="s">
        <v>51</v>
      </c>
      <c r="D17" s="49" t="s">
        <v>51</v>
      </c>
      <c r="F17" s="49" t="s">
        <v>51</v>
      </c>
      <c r="H17" s="49" t="s">
        <v>51</v>
      </c>
      <c r="T17" s="3"/>
      <c r="U17" s="3"/>
      <c r="V17" s="3"/>
      <c r="W17" s="3"/>
    </row>
    <row r="18" spans="20:23" ht="12.75">
      <c r="T18" s="3"/>
      <c r="U18" s="3"/>
      <c r="V18" s="3"/>
      <c r="W18" s="3"/>
    </row>
    <row r="19" spans="20:23" ht="12.75">
      <c r="T19" s="3"/>
      <c r="U19" s="3"/>
      <c r="V19" s="3"/>
      <c r="W19" s="3"/>
    </row>
    <row r="20" spans="20:23" ht="12.75">
      <c r="T20" s="3"/>
      <c r="U20" s="3"/>
      <c r="V20" s="3"/>
      <c r="W20" s="3"/>
    </row>
    <row r="21" spans="20:23" ht="12.75">
      <c r="T21" s="3"/>
      <c r="U21" s="3"/>
      <c r="V21" s="3"/>
      <c r="W21" s="3"/>
    </row>
    <row r="22" spans="20:23" ht="12.75">
      <c r="T22" s="3"/>
      <c r="U22" s="3"/>
      <c r="V22" s="3"/>
      <c r="W22" s="3"/>
    </row>
    <row r="23" spans="2:23" ht="12.75">
      <c r="B23" s="66"/>
      <c r="C23" s="66"/>
      <c r="D23" s="66"/>
      <c r="E23" s="66"/>
      <c r="F23" s="66"/>
      <c r="G23" s="66"/>
      <c r="H23" s="66"/>
      <c r="I23" s="66"/>
      <c r="T23" s="3"/>
      <c r="U23" s="3"/>
      <c r="V23" s="3"/>
      <c r="W23" s="3"/>
    </row>
    <row r="24" spans="20:23" ht="12.75">
      <c r="T24" s="3"/>
      <c r="U24" s="3"/>
      <c r="V24" s="3"/>
      <c r="W24" s="3"/>
    </row>
    <row r="25" spans="20:23" ht="12.75">
      <c r="T25" s="3"/>
      <c r="U25" s="3"/>
      <c r="V25" s="3"/>
      <c r="W25" s="3"/>
    </row>
    <row r="26" spans="20:23" ht="12.75">
      <c r="T26" s="3"/>
      <c r="U26" s="3"/>
      <c r="V26" s="3"/>
      <c r="W26" s="3"/>
    </row>
    <row r="27" spans="20:23" ht="12.75">
      <c r="T27" s="3"/>
      <c r="U27" s="3"/>
      <c r="V27" s="3"/>
      <c r="W27" s="3"/>
    </row>
    <row r="28" spans="20:23" ht="12.75">
      <c r="T28" s="3"/>
      <c r="U28" s="3"/>
      <c r="V28" s="3"/>
      <c r="W28" s="3"/>
    </row>
    <row r="29" spans="20:23" ht="12.75">
      <c r="T29" s="3"/>
      <c r="U29" s="3"/>
      <c r="V29" s="3"/>
      <c r="W29" s="3"/>
    </row>
    <row r="30" spans="20:23" ht="12.75">
      <c r="T30" s="3"/>
      <c r="U30" s="3"/>
      <c r="V30" s="3"/>
      <c r="W30" s="3"/>
    </row>
    <row r="31" spans="20:23" ht="12.75">
      <c r="T31" s="3"/>
      <c r="U31" s="3"/>
      <c r="V31" s="3"/>
      <c r="W31" s="3"/>
    </row>
    <row r="32" spans="20:23" ht="12.75">
      <c r="T32" s="3"/>
      <c r="U32" s="3"/>
      <c r="V32" s="3"/>
      <c r="W32" s="3"/>
    </row>
    <row r="33" spans="20:23" ht="12.75">
      <c r="T33" s="3"/>
      <c r="U33" s="3"/>
      <c r="V33" s="3"/>
      <c r="W33" s="3"/>
    </row>
    <row r="34" spans="20:23" ht="12.75">
      <c r="T34" s="3"/>
      <c r="U34" s="3"/>
      <c r="V34" s="3"/>
      <c r="W34" s="3"/>
    </row>
    <row r="35" spans="20:23" ht="12.75">
      <c r="T35" s="3"/>
      <c r="U35" s="3"/>
      <c r="V35" s="3"/>
      <c r="W35" s="3"/>
    </row>
    <row r="36" spans="20:23" ht="12.75">
      <c r="T36" s="3"/>
      <c r="U36" s="3"/>
      <c r="V36" s="3"/>
      <c r="W36" s="3"/>
    </row>
    <row r="37" spans="20:23" ht="12.75">
      <c r="T37" s="3"/>
      <c r="U37" s="3"/>
      <c r="V37" s="3"/>
      <c r="W37" s="3"/>
    </row>
    <row r="38" spans="20:23" ht="12.75">
      <c r="T38" s="3"/>
      <c r="U38" s="3"/>
      <c r="V38" s="3"/>
      <c r="W38" s="3"/>
    </row>
    <row r="39" spans="20:23" ht="12.75">
      <c r="T39" s="3"/>
      <c r="U39" s="3"/>
      <c r="V39" s="3"/>
      <c r="W39" s="3"/>
    </row>
    <row r="40" spans="20:23" ht="12.75">
      <c r="T40" s="3"/>
      <c r="U40" s="3"/>
      <c r="V40" s="3"/>
      <c r="W40" s="3"/>
    </row>
    <row r="41" spans="20:23" ht="12.75">
      <c r="T41" s="3"/>
      <c r="U41" s="3"/>
      <c r="V41" s="3"/>
      <c r="W41" s="3"/>
    </row>
    <row r="42" spans="20:23" ht="12.75">
      <c r="T42" s="3"/>
      <c r="U42" s="3"/>
      <c r="V42" s="3"/>
      <c r="W42" s="3"/>
    </row>
    <row r="43" spans="20:23" ht="12.75">
      <c r="T43" s="3"/>
      <c r="U43" s="3"/>
      <c r="V43" s="3"/>
      <c r="W43" s="3"/>
    </row>
    <row r="44" spans="20:23" ht="12.75">
      <c r="T44" s="3"/>
      <c r="U44" s="3"/>
      <c r="V44" s="3"/>
      <c r="W44" s="3"/>
    </row>
    <row r="45" spans="20:23" ht="12.75">
      <c r="T45" s="3"/>
      <c r="U45" s="3"/>
      <c r="V45" s="3"/>
      <c r="W45" s="3"/>
    </row>
    <row r="46" spans="20:23" ht="12.75">
      <c r="T46" s="3"/>
      <c r="U46" s="3"/>
      <c r="V46" s="3"/>
      <c r="W46" s="3"/>
    </row>
    <row r="47" spans="20:23" ht="12.75">
      <c r="T47" s="3"/>
      <c r="U47" s="3"/>
      <c r="V47" s="3"/>
      <c r="W47" s="3"/>
    </row>
    <row r="48" spans="20:23" ht="12.75">
      <c r="T48" s="3"/>
      <c r="U48" s="3"/>
      <c r="V48" s="3"/>
      <c r="W48" s="3"/>
    </row>
    <row r="49" spans="20:23" ht="12.75">
      <c r="T49" s="3"/>
      <c r="U49" s="3"/>
      <c r="V49" s="3"/>
      <c r="W49" s="3"/>
    </row>
    <row r="50" spans="20:23" ht="12.75">
      <c r="T50" s="3"/>
      <c r="U50" s="3"/>
      <c r="V50" s="3"/>
      <c r="W50" s="3"/>
    </row>
    <row r="51" spans="20:23" ht="12.75">
      <c r="T51" s="3"/>
      <c r="U51" s="3"/>
      <c r="V51" s="3"/>
      <c r="W51" s="3"/>
    </row>
    <row r="52" spans="20:23" ht="12.75">
      <c r="T52" s="3"/>
      <c r="U52" s="3"/>
      <c r="V52" s="3"/>
      <c r="W52" s="3"/>
    </row>
    <row r="53" spans="20:23" ht="12.75">
      <c r="T53" s="3"/>
      <c r="U53" s="3"/>
      <c r="V53" s="3"/>
      <c r="W53" s="3"/>
    </row>
    <row r="54" spans="20:23" ht="12.75">
      <c r="T54" s="3"/>
      <c r="U54" s="3"/>
      <c r="V54" s="3"/>
      <c r="W54" s="3"/>
    </row>
    <row r="55" spans="20:23" ht="12.75">
      <c r="T55" s="3"/>
      <c r="U55" s="3"/>
      <c r="V55" s="3"/>
      <c r="W55" s="3"/>
    </row>
    <row r="56" spans="20:23" ht="12.75">
      <c r="T56" s="3"/>
      <c r="U56" s="3"/>
      <c r="V56" s="3"/>
      <c r="W56" s="3"/>
    </row>
    <row r="57" spans="20:23" ht="12.75">
      <c r="T57" s="3"/>
      <c r="U57" s="3"/>
      <c r="V57" s="3"/>
      <c r="W57" s="3"/>
    </row>
    <row r="58" spans="20:23" ht="12.75">
      <c r="T58" s="3"/>
      <c r="U58" s="3"/>
      <c r="V58" s="3"/>
      <c r="W58" s="3"/>
    </row>
    <row r="59" spans="20:23" ht="12.75">
      <c r="T59" s="3"/>
      <c r="U59" s="3"/>
      <c r="V59" s="3"/>
      <c r="W59" s="3"/>
    </row>
    <row r="60" spans="20:23" ht="12.75">
      <c r="T60" s="3"/>
      <c r="U60" s="3"/>
      <c r="V60" s="3"/>
      <c r="W60" s="3"/>
    </row>
    <row r="61" spans="20:23" ht="12.75">
      <c r="T61" s="3"/>
      <c r="U61" s="3"/>
      <c r="V61" s="3"/>
      <c r="W61" s="3"/>
    </row>
    <row r="62" spans="20:23" ht="12.75">
      <c r="T62" s="3"/>
      <c r="U62" s="3"/>
      <c r="V62" s="3"/>
      <c r="W62" s="3"/>
    </row>
    <row r="63" spans="20:23" ht="12.75">
      <c r="T63" s="3"/>
      <c r="U63" s="3"/>
      <c r="V63" s="3"/>
      <c r="W63" s="3"/>
    </row>
    <row r="64" spans="20:23" ht="12.75">
      <c r="T64" s="3"/>
      <c r="U64" s="3"/>
      <c r="V64" s="3"/>
      <c r="W64" s="3"/>
    </row>
    <row r="65" spans="20:23" ht="12.75">
      <c r="T65" s="3"/>
      <c r="U65" s="3"/>
      <c r="V65" s="3"/>
      <c r="W65" s="3"/>
    </row>
    <row r="66" spans="20:23" ht="12.75">
      <c r="T66" s="3"/>
      <c r="U66" s="3"/>
      <c r="V66" s="3"/>
      <c r="W66" s="3"/>
    </row>
    <row r="67" spans="20:23" ht="12.75">
      <c r="T67" s="3"/>
      <c r="U67" s="3"/>
      <c r="V67" s="3"/>
      <c r="W67" s="3"/>
    </row>
    <row r="68" spans="20:23" ht="12.75">
      <c r="T68" s="3"/>
      <c r="U68" s="3"/>
      <c r="V68" s="3"/>
      <c r="W68" s="3"/>
    </row>
    <row r="69" spans="20:23" ht="12.75">
      <c r="T69" s="3"/>
      <c r="U69" s="3"/>
      <c r="V69" s="3"/>
      <c r="W69" s="3"/>
    </row>
    <row r="70" spans="20:23" ht="12.75">
      <c r="T70" s="3"/>
      <c r="U70" s="3"/>
      <c r="V70" s="3"/>
      <c r="W70" s="3"/>
    </row>
    <row r="71" spans="20:23" ht="12.75">
      <c r="T71" s="3"/>
      <c r="U71" s="3"/>
      <c r="V71" s="3"/>
      <c r="W71" s="3"/>
    </row>
    <row r="72" spans="20:23" ht="12.75">
      <c r="T72" s="3"/>
      <c r="U72" s="3"/>
      <c r="V72" s="3"/>
      <c r="W72" s="3"/>
    </row>
    <row r="73" spans="20:23" ht="12.75">
      <c r="T73" s="3"/>
      <c r="U73" s="3"/>
      <c r="V73" s="3"/>
      <c r="W73" s="3"/>
    </row>
    <row r="74" spans="20:23" ht="12.75">
      <c r="T74" s="3"/>
      <c r="U74" s="3"/>
      <c r="V74" s="3"/>
      <c r="W74" s="3"/>
    </row>
    <row r="75" spans="20:23" ht="12.75">
      <c r="T75" s="3"/>
      <c r="U75" s="3"/>
      <c r="V75" s="3"/>
      <c r="W75" s="3"/>
    </row>
    <row r="76" spans="20:23" ht="12.75">
      <c r="T76" s="3"/>
      <c r="U76" s="3"/>
      <c r="V76" s="3"/>
      <c r="W76" s="3"/>
    </row>
    <row r="77" spans="20:23" ht="12.75">
      <c r="T77" s="3"/>
      <c r="U77" s="3"/>
      <c r="V77" s="3"/>
      <c r="W77" s="3"/>
    </row>
    <row r="78" spans="20:23" ht="12.75">
      <c r="T78" s="3"/>
      <c r="U78" s="3"/>
      <c r="V78" s="3"/>
      <c r="W78" s="3"/>
    </row>
    <row r="79" spans="20:23" ht="12.75">
      <c r="T79" s="3"/>
      <c r="U79" s="3"/>
      <c r="V79" s="3"/>
      <c r="W79" s="3"/>
    </row>
    <row r="80" spans="20:23" ht="12.75">
      <c r="T80" s="3"/>
      <c r="U80" s="3"/>
      <c r="V80" s="3"/>
      <c r="W80" s="3"/>
    </row>
  </sheetData>
  <mergeCells count="2">
    <mergeCell ref="B2:H2"/>
    <mergeCell ref="B23:I23"/>
  </mergeCells>
  <printOptions/>
  <pageMargins left="0.75" right="0.75" top="1" bottom="1" header="0.5" footer="0.5"/>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Sheet9"/>
  <dimension ref="A1:AF67"/>
  <sheetViews>
    <sheetView workbookViewId="0" topLeftCell="A1">
      <selection activeCell="A1" sqref="A1:N20"/>
    </sheetView>
  </sheetViews>
  <sheetFormatPr defaultColWidth="9.140625" defaultRowHeight="12.75"/>
  <cols>
    <col min="1" max="1" width="3.140625" style="4" customWidth="1"/>
    <col min="2" max="2" width="8.00390625" style="0" customWidth="1"/>
    <col min="3" max="3" width="8.7109375" style="0" customWidth="1"/>
    <col min="4" max="4" width="10.00390625" style="0" bestFit="1" customWidth="1"/>
    <col min="5" max="5" width="16.8515625" style="0" customWidth="1"/>
    <col min="6" max="6" width="15.7109375" style="0" customWidth="1"/>
    <col min="8" max="8" width="10.57421875" style="0" bestFit="1" customWidth="1"/>
    <col min="14" max="14" width="4.421875" style="0" customWidth="1"/>
    <col min="15" max="15" width="5.57421875" style="0" customWidth="1"/>
    <col min="16" max="16" width="5.28125" style="0" bestFit="1" customWidth="1"/>
    <col min="25" max="25" width="12.140625" style="0" bestFit="1" customWidth="1"/>
    <col min="28" max="28" width="12.28125" style="0" bestFit="1" customWidth="1"/>
    <col min="29" max="29" width="16.421875" style="0" bestFit="1" customWidth="1"/>
    <col min="30" max="30" width="14.421875" style="0" bestFit="1" customWidth="1"/>
    <col min="31" max="32" width="10.8515625" style="0" bestFit="1" customWidth="1"/>
  </cols>
  <sheetData>
    <row r="1" spans="1:22" s="4" customFormat="1" ht="12.75">
      <c r="A1" s="58"/>
      <c r="B1" s="58"/>
      <c r="C1" s="58"/>
      <c r="D1" s="58"/>
      <c r="E1" s="58"/>
      <c r="F1" s="58"/>
      <c r="G1" s="58"/>
      <c r="H1" s="58"/>
      <c r="I1" s="58"/>
      <c r="J1" s="58"/>
      <c r="K1" s="58"/>
      <c r="L1" s="58"/>
      <c r="M1" s="58"/>
      <c r="N1" s="58"/>
      <c r="O1" s="58"/>
      <c r="P1" s="58"/>
      <c r="Q1" s="58"/>
      <c r="R1" s="58"/>
      <c r="S1" s="58"/>
      <c r="T1" s="58"/>
      <c r="U1" s="58"/>
      <c r="V1" s="58"/>
    </row>
    <row r="2" spans="1:32" ht="15.75">
      <c r="A2" s="58"/>
      <c r="B2" s="67" t="s">
        <v>117</v>
      </c>
      <c r="C2" s="69"/>
      <c r="D2" s="69"/>
      <c r="E2" s="69"/>
      <c r="F2" s="68"/>
      <c r="G2" s="58"/>
      <c r="H2" s="58"/>
      <c r="I2" s="58"/>
      <c r="J2" s="58"/>
      <c r="K2" s="58"/>
      <c r="L2" s="58"/>
      <c r="M2" s="58"/>
      <c r="N2" s="58"/>
      <c r="O2" s="58"/>
      <c r="P2" s="58"/>
      <c r="Q2" s="58"/>
      <c r="R2" s="58"/>
      <c r="S2" s="58"/>
      <c r="T2" s="58"/>
      <c r="U2" s="58"/>
      <c r="V2" s="58"/>
      <c r="AB2" t="s">
        <v>34</v>
      </c>
      <c r="AC2" t="s">
        <v>36</v>
      </c>
      <c r="AD2" t="s">
        <v>37</v>
      </c>
      <c r="AE2" t="s">
        <v>7</v>
      </c>
      <c r="AF2" t="s">
        <v>8</v>
      </c>
    </row>
    <row r="3" spans="1:32" ht="12.75">
      <c r="A3" s="58"/>
      <c r="B3" s="26"/>
      <c r="C3" s="27"/>
      <c r="D3" s="24" t="s">
        <v>6</v>
      </c>
      <c r="E3" s="28" t="s">
        <v>21</v>
      </c>
      <c r="F3" s="28" t="s">
        <v>21</v>
      </c>
      <c r="G3" s="59"/>
      <c r="H3" s="58"/>
      <c r="I3" s="58"/>
      <c r="J3" s="58"/>
      <c r="K3" s="58"/>
      <c r="L3" s="58"/>
      <c r="M3" s="58"/>
      <c r="N3" s="58"/>
      <c r="O3" s="58"/>
      <c r="P3" s="58"/>
      <c r="Q3" s="58"/>
      <c r="R3" s="58"/>
      <c r="S3" s="58"/>
      <c r="T3" s="58"/>
      <c r="U3" s="58"/>
      <c r="V3" s="58"/>
      <c r="AB3">
        <v>0.2</v>
      </c>
      <c r="AC3" s="1">
        <f aca="true" t="shared" si="0" ref="AC3:AC41">Z$17/(AB3+(AB3/Z$24)^(1/(1+Z$15)))</f>
        <v>69.2226144824063</v>
      </c>
      <c r="AD3" s="1">
        <f aca="true" t="shared" si="1" ref="AD3:AD41">(Z$23/(Z$14+(1-Z$14)*(AB3/Z$24)^(-Z$15/(1+Z$15))))^-(1/Z$15)</f>
        <v>32.04019705428864</v>
      </c>
      <c r="AE3" s="2">
        <f>IF($AB3&lt;+D$8,50,-9999)</f>
        <v>50</v>
      </c>
      <c r="AF3" s="2">
        <f>IF($AB3&lt;=E$8,50,-9999)</f>
        <v>50</v>
      </c>
    </row>
    <row r="4" spans="1:32" ht="12.75">
      <c r="A4" s="58"/>
      <c r="B4" s="9"/>
      <c r="C4" s="10"/>
      <c r="D4" s="25"/>
      <c r="E4" s="29" t="s">
        <v>19</v>
      </c>
      <c r="F4" s="29" t="s">
        <v>20</v>
      </c>
      <c r="G4" s="59"/>
      <c r="H4" s="58"/>
      <c r="I4" s="58"/>
      <c r="J4" s="58"/>
      <c r="K4" s="58"/>
      <c r="L4" s="58"/>
      <c r="M4" s="58"/>
      <c r="N4" s="58"/>
      <c r="O4" s="58"/>
      <c r="P4" s="58"/>
      <c r="Q4" s="58"/>
      <c r="R4" s="58"/>
      <c r="S4" s="58"/>
      <c r="T4" s="58"/>
      <c r="U4" s="58"/>
      <c r="V4" s="58"/>
      <c r="AB4">
        <v>0.25</v>
      </c>
      <c r="AC4" s="1">
        <f t="shared" si="0"/>
        <v>51.380537094084204</v>
      </c>
      <c r="AD4" s="1">
        <f t="shared" si="1"/>
        <v>27.601879732920843</v>
      </c>
      <c r="AE4" s="2">
        <f aca="true" t="shared" si="2" ref="AE4:AE42">IF($AB4&lt;+D$8,50,-9999)</f>
        <v>50</v>
      </c>
      <c r="AF4" s="2">
        <f aca="true" t="shared" si="3" ref="AF4:AF42">IF($AB4&lt;=E$8,50,-9999)</f>
        <v>50</v>
      </c>
    </row>
    <row r="5" spans="1:32" ht="12.75">
      <c r="A5" s="58"/>
      <c r="B5" s="90" t="s">
        <v>69</v>
      </c>
      <c r="C5" s="92"/>
      <c r="D5" s="55">
        <f>'Changes w_compensation'!H3</f>
        <v>20</v>
      </c>
      <c r="E5" s="55">
        <f>D5</f>
        <v>20</v>
      </c>
      <c r="F5" s="55">
        <f>'Changes w_compensation'!I3</f>
        <v>16.024860187360957</v>
      </c>
      <c r="G5" s="59"/>
      <c r="H5" s="59"/>
      <c r="I5" s="59"/>
      <c r="J5" s="58"/>
      <c r="K5" s="58"/>
      <c r="L5" s="58"/>
      <c r="M5" s="58"/>
      <c r="N5" s="58"/>
      <c r="O5" s="58"/>
      <c r="P5" s="58"/>
      <c r="Q5" s="58"/>
      <c r="R5" s="58"/>
      <c r="S5" s="58"/>
      <c r="T5" s="58"/>
      <c r="U5" s="58"/>
      <c r="V5" s="58"/>
      <c r="Y5" s="2"/>
      <c r="AB5">
        <f aca="true" t="shared" si="4" ref="AB5:AB41">AB4+0.05</f>
        <v>0.3</v>
      </c>
      <c r="AC5" s="1">
        <f t="shared" si="0"/>
        <v>39.92896950859648</v>
      </c>
      <c r="AD5" s="1">
        <f t="shared" si="1"/>
        <v>24.020407226944176</v>
      </c>
      <c r="AE5" s="2">
        <f t="shared" si="2"/>
        <v>50</v>
      </c>
      <c r="AF5" s="2">
        <f t="shared" si="3"/>
        <v>50</v>
      </c>
    </row>
    <row r="6" spans="1:32" ht="12.75">
      <c r="A6" s="58"/>
      <c r="B6" s="90" t="s">
        <v>70</v>
      </c>
      <c r="C6" s="92"/>
      <c r="D6" s="56">
        <f>'Changes no_compensation'!G5</f>
        <v>107.56660500777483</v>
      </c>
      <c r="E6" s="56">
        <f>'Changes no_compensation'!H5</f>
        <v>136.0138966175017</v>
      </c>
      <c r="F6" s="56">
        <f>D6</f>
        <v>107.56660500777483</v>
      </c>
      <c r="G6" s="59"/>
      <c r="H6" s="59"/>
      <c r="I6" s="59"/>
      <c r="J6" s="58"/>
      <c r="K6" s="58"/>
      <c r="L6" s="58"/>
      <c r="M6" s="58"/>
      <c r="N6" s="58"/>
      <c r="O6" s="58"/>
      <c r="P6" s="58"/>
      <c r="Q6" s="58"/>
      <c r="R6" s="58"/>
      <c r="S6" s="58"/>
      <c r="T6" s="58"/>
      <c r="U6" s="58"/>
      <c r="V6" s="58"/>
      <c r="Y6" s="2"/>
      <c r="AB6">
        <f t="shared" si="4"/>
        <v>0.35</v>
      </c>
      <c r="AC6" s="1">
        <f t="shared" si="0"/>
        <v>32.05874698071776</v>
      </c>
      <c r="AD6" s="1">
        <f t="shared" si="1"/>
        <v>21.08977591449794</v>
      </c>
      <c r="AE6" s="2">
        <f t="shared" si="2"/>
        <v>50</v>
      </c>
      <c r="AF6" s="2">
        <f t="shared" si="3"/>
        <v>50</v>
      </c>
    </row>
    <row r="7" spans="1:32" ht="12.75">
      <c r="A7" s="58"/>
      <c r="B7" s="90" t="s">
        <v>9</v>
      </c>
      <c r="C7" s="92"/>
      <c r="D7" s="56">
        <f>'Changes w_compensation'!H4</f>
        <v>7.331438682985636</v>
      </c>
      <c r="E7" s="56">
        <f>'Changes no_compensation'!H3</f>
        <v>18.852200558644054</v>
      </c>
      <c r="F7" s="56">
        <f>'Changes w_compensation'!I4</f>
        <v>12.182185336683931</v>
      </c>
      <c r="G7" s="58"/>
      <c r="H7" s="58"/>
      <c r="I7" s="58"/>
      <c r="J7" s="58"/>
      <c r="K7" s="58"/>
      <c r="L7" s="58"/>
      <c r="M7" s="58"/>
      <c r="N7" s="58"/>
      <c r="O7" s="58"/>
      <c r="P7" s="58"/>
      <c r="Q7" s="58"/>
      <c r="R7" s="58"/>
      <c r="S7" s="58"/>
      <c r="T7" s="58"/>
      <c r="U7" s="58"/>
      <c r="V7" s="58"/>
      <c r="Y7" s="2"/>
      <c r="AB7">
        <f t="shared" si="4"/>
        <v>0.39999999999999997</v>
      </c>
      <c r="AC7" s="1">
        <f t="shared" si="0"/>
        <v>26.379457100830912</v>
      </c>
      <c r="AD7" s="1">
        <f t="shared" si="1"/>
        <v>18.662023118309246</v>
      </c>
      <c r="AE7" s="2">
        <f t="shared" si="2"/>
        <v>50</v>
      </c>
      <c r="AF7" s="2">
        <f t="shared" si="3"/>
        <v>50</v>
      </c>
    </row>
    <row r="8" spans="1:32" ht="12.75">
      <c r="A8" s="58"/>
      <c r="B8" s="90" t="s">
        <v>34</v>
      </c>
      <c r="C8" s="92"/>
      <c r="D8" s="55">
        <f>'Changes w_compensation'!H2</f>
        <v>0.9</v>
      </c>
      <c r="E8" s="55">
        <f>'Changes w_compensation'!$I$2</f>
        <v>0.5</v>
      </c>
      <c r="F8" s="55">
        <f>'Changes w_compensation'!$I$2</f>
        <v>0.5</v>
      </c>
      <c r="G8" s="58"/>
      <c r="H8" s="58"/>
      <c r="I8" s="58"/>
      <c r="J8" s="58"/>
      <c r="K8" s="58"/>
      <c r="L8" s="58"/>
      <c r="M8" s="58"/>
      <c r="N8" s="58"/>
      <c r="O8" s="58"/>
      <c r="P8" s="58"/>
      <c r="Q8" s="58"/>
      <c r="R8" s="58"/>
      <c r="S8" s="58"/>
      <c r="T8" s="58"/>
      <c r="U8" s="58"/>
      <c r="V8" s="58"/>
      <c r="AB8">
        <f t="shared" si="4"/>
        <v>0.44999999999999996</v>
      </c>
      <c r="AC8" s="1">
        <f t="shared" si="0"/>
        <v>22.127866187962088</v>
      </c>
      <c r="AD8" s="1">
        <f t="shared" si="1"/>
        <v>16.6287796996887</v>
      </c>
      <c r="AE8" s="2">
        <f t="shared" si="2"/>
        <v>50</v>
      </c>
      <c r="AF8" s="2">
        <f t="shared" si="3"/>
        <v>50</v>
      </c>
    </row>
    <row r="9" spans="1:32" ht="12.75">
      <c r="A9" s="58"/>
      <c r="B9" s="90" t="s">
        <v>71</v>
      </c>
      <c r="C9" s="91"/>
      <c r="D9" s="92"/>
      <c r="E9" s="54">
        <f>((E7-D7)/(E7+D7))/((E8-D8)/(E8+D8))</f>
        <v>-1.5399947346010996</v>
      </c>
      <c r="F9" s="54">
        <f>((F7-D7)/(F7+D7))/((F8-D8)/(F8+D8))</f>
        <v>-0.8700389671765091</v>
      </c>
      <c r="G9" s="58"/>
      <c r="H9" s="58"/>
      <c r="I9" s="58"/>
      <c r="J9" s="58"/>
      <c r="K9" s="58"/>
      <c r="L9" s="58"/>
      <c r="M9" s="58"/>
      <c r="N9" s="58"/>
      <c r="O9" s="58"/>
      <c r="P9" s="58"/>
      <c r="Q9" s="58"/>
      <c r="R9" s="58"/>
      <c r="S9" s="58"/>
      <c r="T9" s="58"/>
      <c r="U9" s="58"/>
      <c r="V9" s="58"/>
      <c r="AB9">
        <f t="shared" si="4"/>
        <v>0.49999999999999994</v>
      </c>
      <c r="AC9" s="1">
        <f t="shared" si="0"/>
        <v>18.85220048119373</v>
      </c>
      <c r="AD9" s="1">
        <f t="shared" si="1"/>
        <v>14.909264811306121</v>
      </c>
      <c r="AE9" s="2">
        <f t="shared" si="2"/>
        <v>50</v>
      </c>
      <c r="AF9" s="2">
        <f t="shared" si="3"/>
        <v>50</v>
      </c>
    </row>
    <row r="10" spans="1:32" ht="12.75">
      <c r="A10" s="58"/>
      <c r="B10" s="67" t="s">
        <v>111</v>
      </c>
      <c r="C10" s="69"/>
      <c r="D10" s="68"/>
      <c r="E10" s="55">
        <f>Y51</f>
        <v>4.692937877033975</v>
      </c>
      <c r="F10" s="55">
        <f>'Changes w_compensation'!H3-'Changes w_compensation'!I3</f>
        <v>3.9751398126390427</v>
      </c>
      <c r="G10" s="58"/>
      <c r="H10" s="58"/>
      <c r="I10" s="58"/>
      <c r="J10" s="58"/>
      <c r="K10" s="58"/>
      <c r="L10" s="58"/>
      <c r="M10" s="58"/>
      <c r="N10" s="58"/>
      <c r="O10" s="58"/>
      <c r="P10" s="58"/>
      <c r="Q10" s="58"/>
      <c r="R10" s="58"/>
      <c r="S10" s="58"/>
      <c r="T10" s="58"/>
      <c r="U10" s="58"/>
      <c r="V10" s="58"/>
      <c r="AB10">
        <f t="shared" si="4"/>
        <v>0.5499999999999999</v>
      </c>
      <c r="AC10" s="1">
        <f t="shared" si="0"/>
        <v>16.269197596135747</v>
      </c>
      <c r="AD10" s="1">
        <f t="shared" si="1"/>
        <v>13.442299327292488</v>
      </c>
      <c r="AE10" s="2">
        <f t="shared" si="2"/>
        <v>50</v>
      </c>
      <c r="AF10" s="2">
        <f t="shared" si="3"/>
        <v>-9999</v>
      </c>
    </row>
    <row r="11" spans="1:32" ht="12.75">
      <c r="A11" s="58"/>
      <c r="B11" s="58"/>
      <c r="C11" s="58"/>
      <c r="D11" s="58"/>
      <c r="E11" s="58"/>
      <c r="F11" s="58"/>
      <c r="G11" s="58"/>
      <c r="H11" s="58"/>
      <c r="I11" s="58"/>
      <c r="J11" s="58"/>
      <c r="K11" s="58"/>
      <c r="L11" s="58"/>
      <c r="M11" s="58"/>
      <c r="N11" s="58"/>
      <c r="O11" s="58"/>
      <c r="P11" s="58"/>
      <c r="Q11" s="58"/>
      <c r="R11" s="58"/>
      <c r="S11" s="58"/>
      <c r="T11" s="58"/>
      <c r="U11" s="58"/>
      <c r="V11" s="58"/>
      <c r="AB11">
        <f t="shared" si="4"/>
        <v>0.6</v>
      </c>
      <c r="AC11" s="1">
        <f t="shared" si="0"/>
        <v>14.192983120189473</v>
      </c>
      <c r="AD11" s="1">
        <f t="shared" si="1"/>
        <v>12.180880937131588</v>
      </c>
      <c r="AE11" s="2">
        <f t="shared" si="2"/>
        <v>50</v>
      </c>
      <c r="AF11" s="2">
        <f t="shared" si="3"/>
        <v>-9999</v>
      </c>
    </row>
    <row r="12" spans="1:32" ht="12.75">
      <c r="A12" s="58"/>
      <c r="B12" s="58"/>
      <c r="C12" s="58"/>
      <c r="D12" s="58"/>
      <c r="E12" s="58"/>
      <c r="F12" s="58"/>
      <c r="G12" s="58"/>
      <c r="H12" s="58"/>
      <c r="I12" s="58"/>
      <c r="J12" s="58"/>
      <c r="K12" s="58"/>
      <c r="L12" s="58"/>
      <c r="M12" s="58"/>
      <c r="N12" s="58"/>
      <c r="O12" s="58"/>
      <c r="P12" s="58"/>
      <c r="Q12" s="58"/>
      <c r="R12" s="58"/>
      <c r="S12" s="58"/>
      <c r="T12" s="58"/>
      <c r="U12" s="58"/>
      <c r="V12" s="58"/>
      <c r="X12" t="s">
        <v>67</v>
      </c>
      <c r="AB12">
        <f t="shared" si="4"/>
        <v>0.65</v>
      </c>
      <c r="AC12" s="1">
        <f t="shared" si="0"/>
        <v>12.49699796292944</v>
      </c>
      <c r="AD12" s="1">
        <f t="shared" si="1"/>
        <v>11.088427589520949</v>
      </c>
      <c r="AE12" s="2">
        <f t="shared" si="2"/>
        <v>50</v>
      </c>
      <c r="AF12" s="2">
        <f t="shared" si="3"/>
        <v>-9999</v>
      </c>
    </row>
    <row r="13" spans="1:32" ht="12.75">
      <c r="A13" s="58"/>
      <c r="B13" s="58"/>
      <c r="C13" s="58"/>
      <c r="D13" s="58"/>
      <c r="E13" s="58"/>
      <c r="F13" s="58"/>
      <c r="G13" s="58"/>
      <c r="H13" s="58"/>
      <c r="I13" s="58"/>
      <c r="J13" s="58"/>
      <c r="K13" s="58"/>
      <c r="L13" s="58"/>
      <c r="M13" s="58"/>
      <c r="N13" s="58"/>
      <c r="O13" s="58"/>
      <c r="P13" s="58"/>
      <c r="Q13" s="58"/>
      <c r="R13" s="58"/>
      <c r="S13" s="58"/>
      <c r="T13" s="58"/>
      <c r="U13" s="58"/>
      <c r="V13" s="58"/>
      <c r="X13" t="s">
        <v>45</v>
      </c>
      <c r="Y13" t="s">
        <v>26</v>
      </c>
      <c r="Z13">
        <v>10</v>
      </c>
      <c r="AB13">
        <f t="shared" si="4"/>
        <v>0.7000000000000001</v>
      </c>
      <c r="AC13" s="1">
        <f t="shared" si="0"/>
        <v>11.092389359063526</v>
      </c>
      <c r="AD13" s="1">
        <f t="shared" si="1"/>
        <v>10.136129802219617</v>
      </c>
      <c r="AE13" s="2">
        <f t="shared" si="2"/>
        <v>50</v>
      </c>
      <c r="AF13" s="2">
        <f t="shared" si="3"/>
        <v>-9999</v>
      </c>
    </row>
    <row r="14" spans="1:32" ht="13.5" thickBot="1">
      <c r="A14" s="58"/>
      <c r="B14" s="58"/>
      <c r="C14" s="58"/>
      <c r="D14" s="58"/>
      <c r="E14" s="58"/>
      <c r="F14" s="58"/>
      <c r="G14" s="58"/>
      <c r="H14" s="58"/>
      <c r="I14" s="58"/>
      <c r="J14" s="58"/>
      <c r="K14" s="58"/>
      <c r="L14" s="58"/>
      <c r="M14" s="58"/>
      <c r="N14" s="58"/>
      <c r="O14" s="58"/>
      <c r="P14" s="58"/>
      <c r="Q14" s="58"/>
      <c r="R14" s="58"/>
      <c r="S14" s="58"/>
      <c r="T14" s="58"/>
      <c r="U14" s="58"/>
      <c r="V14" s="58"/>
      <c r="X14" t="s">
        <v>46</v>
      </c>
      <c r="Y14" t="s">
        <v>27</v>
      </c>
      <c r="Z14">
        <f>'Changes w_compensation'!N4</f>
        <v>0.4</v>
      </c>
      <c r="AB14">
        <f t="shared" si="4"/>
        <v>0.7500000000000001</v>
      </c>
      <c r="AC14" s="1">
        <f t="shared" si="0"/>
        <v>9.915143378240483</v>
      </c>
      <c r="AD14" s="1">
        <f t="shared" si="1"/>
        <v>9.301054039754112</v>
      </c>
      <c r="AE14" s="2">
        <f t="shared" si="2"/>
        <v>50</v>
      </c>
      <c r="AF14" s="2">
        <f t="shared" si="3"/>
        <v>-9999</v>
      </c>
    </row>
    <row r="15" spans="1:32" ht="12.75">
      <c r="A15" s="58"/>
      <c r="B15" s="77" t="s">
        <v>112</v>
      </c>
      <c r="C15" s="78"/>
      <c r="D15" s="78"/>
      <c r="E15" s="79"/>
      <c r="F15" s="58"/>
      <c r="G15" s="58"/>
      <c r="H15" s="58"/>
      <c r="I15" s="58"/>
      <c r="J15" s="58"/>
      <c r="K15" s="58"/>
      <c r="L15" s="58"/>
      <c r="M15" s="58"/>
      <c r="N15" s="58"/>
      <c r="O15" s="58"/>
      <c r="P15" s="58"/>
      <c r="Q15" s="58"/>
      <c r="R15" s="58"/>
      <c r="S15" s="58"/>
      <c r="T15" s="58"/>
      <c r="U15" s="58"/>
      <c r="V15" s="58"/>
      <c r="X15" t="s">
        <v>47</v>
      </c>
      <c r="Y15" t="s">
        <v>24</v>
      </c>
      <c r="Z15">
        <f>'Changes w_compensation'!N6</f>
        <v>-0.5024875621890547</v>
      </c>
      <c r="AB15">
        <f t="shared" si="4"/>
        <v>0.8000000000000002</v>
      </c>
      <c r="AC15" s="1">
        <f t="shared" si="0"/>
        <v>8.918109271161276</v>
      </c>
      <c r="AD15" s="1">
        <f t="shared" si="1"/>
        <v>8.564763772207865</v>
      </c>
      <c r="AE15" s="2">
        <f t="shared" si="2"/>
        <v>50</v>
      </c>
      <c r="AF15" s="2">
        <f t="shared" si="3"/>
        <v>-9999</v>
      </c>
    </row>
    <row r="16" spans="1:32" ht="12.75">
      <c r="A16" s="58"/>
      <c r="B16" s="94" t="s">
        <v>113</v>
      </c>
      <c r="C16" s="95"/>
      <c r="D16" s="95"/>
      <c r="E16" s="96"/>
      <c r="F16" s="58"/>
      <c r="G16" s="58"/>
      <c r="H16" s="58"/>
      <c r="I16" s="58"/>
      <c r="J16" s="58"/>
      <c r="K16" s="58"/>
      <c r="L16" s="58"/>
      <c r="M16" s="58"/>
      <c r="N16" s="58"/>
      <c r="O16" s="58"/>
      <c r="P16" s="58"/>
      <c r="Q16" s="58"/>
      <c r="R16" s="58"/>
      <c r="S16" s="58"/>
      <c r="T16" s="58"/>
      <c r="U16" s="58"/>
      <c r="V16" s="58"/>
      <c r="X16" t="s">
        <v>48</v>
      </c>
      <c r="Y16" t="s">
        <v>35</v>
      </c>
      <c r="Z16">
        <f>D6</f>
        <v>107.56660500777483</v>
      </c>
      <c r="AB16">
        <f t="shared" si="4"/>
        <v>0.8500000000000002</v>
      </c>
      <c r="AC16" s="1">
        <f t="shared" si="0"/>
        <v>8.065884743300831</v>
      </c>
      <c r="AD16" s="1">
        <f t="shared" si="1"/>
        <v>7.912303142398246</v>
      </c>
      <c r="AE16" s="2">
        <f t="shared" si="2"/>
        <v>50</v>
      </c>
      <c r="AF16" s="2">
        <f t="shared" si="3"/>
        <v>-9999</v>
      </c>
    </row>
    <row r="17" spans="1:32" ht="12.75">
      <c r="A17" s="58"/>
      <c r="B17" s="97" t="s">
        <v>116</v>
      </c>
      <c r="C17" s="91"/>
      <c r="D17" s="92"/>
      <c r="E17" s="60">
        <f>ABS(2*(E10-F10)/(E10+F10))</f>
        <v>0.1656187427231076</v>
      </c>
      <c r="F17" s="58"/>
      <c r="G17" s="58"/>
      <c r="H17" s="58"/>
      <c r="I17" s="58"/>
      <c r="J17" s="58"/>
      <c r="K17" s="58"/>
      <c r="L17" s="58"/>
      <c r="M17" s="58"/>
      <c r="N17" s="58"/>
      <c r="O17" s="58"/>
      <c r="P17" s="58"/>
      <c r="Q17" s="58"/>
      <c r="R17" s="58"/>
      <c r="S17" s="58"/>
      <c r="T17" s="58"/>
      <c r="U17" s="58"/>
      <c r="V17" s="58"/>
      <c r="X17" t="s">
        <v>49</v>
      </c>
      <c r="Y17" t="s">
        <v>38</v>
      </c>
      <c r="Z17" s="2">
        <f>D5</f>
        <v>20</v>
      </c>
      <c r="AB17">
        <f t="shared" si="4"/>
        <v>0.9000000000000002</v>
      </c>
      <c r="AC17" s="1">
        <f t="shared" si="0"/>
        <v>7.331438441148458</v>
      </c>
      <c r="AD17" s="1">
        <f t="shared" si="1"/>
        <v>7.331438421439728</v>
      </c>
      <c r="AE17" s="2">
        <f t="shared" si="2"/>
        <v>-9999</v>
      </c>
      <c r="AF17" s="2">
        <f t="shared" si="3"/>
        <v>-9999</v>
      </c>
    </row>
    <row r="18" spans="1:32" ht="12.75">
      <c r="A18" s="58"/>
      <c r="B18" s="97" t="s">
        <v>114</v>
      </c>
      <c r="C18" s="91"/>
      <c r="D18" s="92"/>
      <c r="E18" s="60">
        <f>ABS(2*(F$10-Y56)/(Y56+F$10))</f>
        <v>0.14122917694799828</v>
      </c>
      <c r="F18" s="58"/>
      <c r="G18" s="58"/>
      <c r="H18" s="58"/>
      <c r="I18" s="58"/>
      <c r="J18" s="58"/>
      <c r="K18" s="58"/>
      <c r="L18" s="58"/>
      <c r="M18" s="58"/>
      <c r="N18" s="58"/>
      <c r="O18" s="58"/>
      <c r="P18" s="58"/>
      <c r="Q18" s="58"/>
      <c r="R18" s="58"/>
      <c r="S18" s="58"/>
      <c r="T18" s="58"/>
      <c r="U18" s="58"/>
      <c r="V18" s="58"/>
      <c r="Y18" t="s">
        <v>40</v>
      </c>
      <c r="Z18" s="2">
        <f>D8</f>
        <v>0.9</v>
      </c>
      <c r="AB18">
        <f t="shared" si="4"/>
        <v>0.9500000000000003</v>
      </c>
      <c r="AC18" s="1">
        <f t="shared" si="0"/>
        <v>6.693822047285759</v>
      </c>
      <c r="AD18" s="1">
        <f t="shared" si="1"/>
        <v>6.812085264708769</v>
      </c>
      <c r="AE18" s="2">
        <f t="shared" si="2"/>
        <v>-9999</v>
      </c>
      <c r="AF18" s="2">
        <f t="shared" si="3"/>
        <v>-9999</v>
      </c>
    </row>
    <row r="19" spans="1:32" ht="13.5" thickBot="1">
      <c r="A19" s="58"/>
      <c r="B19" s="98" t="s">
        <v>115</v>
      </c>
      <c r="C19" s="99"/>
      <c r="D19" s="100"/>
      <c r="E19" s="61">
        <f>ABS(2*(F$10-Y55)/(Y55+F$10))</f>
        <v>0.1899828498528863</v>
      </c>
      <c r="F19" s="58"/>
      <c r="G19" s="58"/>
      <c r="H19" s="58"/>
      <c r="I19" s="58"/>
      <c r="J19" s="58"/>
      <c r="K19" s="58"/>
      <c r="L19" s="58"/>
      <c r="M19" s="58"/>
      <c r="N19" s="58"/>
      <c r="O19" s="58"/>
      <c r="P19" s="58"/>
      <c r="Q19" s="58"/>
      <c r="R19" s="58"/>
      <c r="S19" s="58"/>
      <c r="T19" s="58"/>
      <c r="U19" s="58"/>
      <c r="V19" s="58"/>
      <c r="Y19" t="s">
        <v>41</v>
      </c>
      <c r="Z19" s="2">
        <f>E8</f>
        <v>0.5</v>
      </c>
      <c r="AB19">
        <f t="shared" si="4"/>
        <v>1.0000000000000002</v>
      </c>
      <c r="AC19" s="1">
        <f t="shared" si="0"/>
        <v>6.136585383290641</v>
      </c>
      <c r="AD19" s="1">
        <f t="shared" si="1"/>
        <v>6.345871594005673</v>
      </c>
      <c r="AE19" s="2">
        <f t="shared" si="2"/>
        <v>-9999</v>
      </c>
      <c r="AF19" s="2">
        <f t="shared" si="3"/>
        <v>-9999</v>
      </c>
    </row>
    <row r="20" spans="1:32" ht="12.75">
      <c r="A20" s="58"/>
      <c r="B20" s="58"/>
      <c r="C20" s="58"/>
      <c r="D20" s="58"/>
      <c r="E20" s="58"/>
      <c r="F20" s="58"/>
      <c r="G20" s="58"/>
      <c r="H20" s="58"/>
      <c r="I20" s="58"/>
      <c r="J20" s="58"/>
      <c r="K20" s="58"/>
      <c r="L20" s="58"/>
      <c r="M20" s="58"/>
      <c r="N20" s="58"/>
      <c r="O20" s="58"/>
      <c r="P20" s="58"/>
      <c r="Q20" s="58"/>
      <c r="R20" s="58"/>
      <c r="S20" s="58"/>
      <c r="T20" s="58"/>
      <c r="U20" s="58"/>
      <c r="V20" s="58"/>
      <c r="Y20" t="s">
        <v>42</v>
      </c>
      <c r="Z20">
        <f>D7</f>
        <v>7.331438682985636</v>
      </c>
      <c r="AB20">
        <f t="shared" si="4"/>
        <v>1.0500000000000003</v>
      </c>
      <c r="AC20" s="1">
        <f t="shared" si="0"/>
        <v>5.646656512309384</v>
      </c>
      <c r="AD20" s="1">
        <f t="shared" si="1"/>
        <v>5.925800653471902</v>
      </c>
      <c r="AE20" s="2">
        <f t="shared" si="2"/>
        <v>-9999</v>
      </c>
      <c r="AF20" s="2">
        <f t="shared" si="3"/>
        <v>-9999</v>
      </c>
    </row>
    <row r="21" spans="1:32" ht="12.75">
      <c r="A21" s="58"/>
      <c r="B21" s="58"/>
      <c r="C21" s="58"/>
      <c r="D21" s="58"/>
      <c r="E21" s="58"/>
      <c r="F21" s="58"/>
      <c r="G21" s="58"/>
      <c r="H21" s="58"/>
      <c r="I21" s="58"/>
      <c r="J21" s="58"/>
      <c r="K21" s="58"/>
      <c r="L21" s="58"/>
      <c r="M21" s="58"/>
      <c r="N21" s="58"/>
      <c r="O21" s="58"/>
      <c r="P21" s="58"/>
      <c r="Q21" s="58"/>
      <c r="R21" s="58"/>
      <c r="S21" s="58"/>
      <c r="T21" s="58"/>
      <c r="U21" s="58"/>
      <c r="V21" s="58"/>
      <c r="Y21" t="s">
        <v>39</v>
      </c>
      <c r="Z21">
        <f>E7</f>
        <v>18.852200558644054</v>
      </c>
      <c r="AB21">
        <f t="shared" si="4"/>
        <v>1.1000000000000003</v>
      </c>
      <c r="AC21" s="1">
        <f t="shared" si="0"/>
        <v>5.213536278073888</v>
      </c>
      <c r="AD21" s="1">
        <f t="shared" si="1"/>
        <v>5.545988868172964</v>
      </c>
      <c r="AE21" s="2">
        <f t="shared" si="2"/>
        <v>-9999</v>
      </c>
      <c r="AF21" s="2">
        <f t="shared" si="3"/>
        <v>-9999</v>
      </c>
    </row>
    <row r="22" spans="1:32" ht="12.75">
      <c r="A22" s="58"/>
      <c r="B22" s="58"/>
      <c r="C22" s="58"/>
      <c r="D22" s="58"/>
      <c r="E22" s="58"/>
      <c r="F22" s="58"/>
      <c r="G22" s="58"/>
      <c r="H22" s="58"/>
      <c r="I22" s="58"/>
      <c r="J22" s="58"/>
      <c r="K22" s="58"/>
      <c r="L22" s="58"/>
      <c r="M22" s="58"/>
      <c r="N22" s="58"/>
      <c r="O22" s="58"/>
      <c r="P22" s="58"/>
      <c r="Q22" s="58"/>
      <c r="R22" s="58"/>
      <c r="S22" s="58"/>
      <c r="T22" s="58"/>
      <c r="U22" s="58"/>
      <c r="V22" s="58"/>
      <c r="Y22" t="s">
        <v>43</v>
      </c>
      <c r="Z22">
        <f>F7</f>
        <v>12.182185336683931</v>
      </c>
      <c r="AB22">
        <f t="shared" si="4"/>
        <v>1.1500000000000004</v>
      </c>
      <c r="AC22" s="1">
        <f t="shared" si="0"/>
        <v>4.828709706039752</v>
      </c>
      <c r="AD22" s="1">
        <f t="shared" si="1"/>
        <v>5.201460132340577</v>
      </c>
      <c r="AE22" s="2">
        <f t="shared" si="2"/>
        <v>-9999</v>
      </c>
      <c r="AF22" s="2">
        <f t="shared" si="3"/>
        <v>-9999</v>
      </c>
    </row>
    <row r="23" spans="1:32" ht="12.75">
      <c r="A23" s="58"/>
      <c r="B23" s="58"/>
      <c r="C23" s="58"/>
      <c r="D23" s="58"/>
      <c r="E23" s="58"/>
      <c r="F23" s="58"/>
      <c r="G23" s="58"/>
      <c r="H23" s="58"/>
      <c r="I23" s="58"/>
      <c r="J23" s="58"/>
      <c r="K23" s="58"/>
      <c r="L23" s="58"/>
      <c r="M23" s="58"/>
      <c r="N23" s="58"/>
      <c r="O23" s="58"/>
      <c r="P23" s="58"/>
      <c r="Q23" s="58"/>
      <c r="R23" s="58"/>
      <c r="S23" s="58"/>
      <c r="T23" s="58"/>
      <c r="U23" s="58"/>
      <c r="V23" s="58"/>
      <c r="Y23" t="s">
        <v>44</v>
      </c>
      <c r="Z23">
        <f>(Z16/Z13)^-Z15</f>
        <v>3.299173025116355</v>
      </c>
      <c r="AB23">
        <f t="shared" si="4"/>
        <v>1.2000000000000004</v>
      </c>
      <c r="AC23" s="1">
        <f t="shared" si="0"/>
        <v>4.485209650148586</v>
      </c>
      <c r="AD23" s="1">
        <f t="shared" si="1"/>
        <v>4.887983074079046</v>
      </c>
      <c r="AE23" s="2">
        <f t="shared" si="2"/>
        <v>-9999</v>
      </c>
      <c r="AF23" s="2">
        <f t="shared" si="3"/>
        <v>-9999</v>
      </c>
    </row>
    <row r="24" spans="1:32" ht="12.75">
      <c r="A24" s="58"/>
      <c r="B24" s="58"/>
      <c r="C24" s="58"/>
      <c r="D24" s="58"/>
      <c r="E24" s="58"/>
      <c r="F24" s="58"/>
      <c r="G24" s="58"/>
      <c r="H24" s="58"/>
      <c r="I24" s="58"/>
      <c r="J24" s="58"/>
      <c r="K24" s="58"/>
      <c r="L24" s="58"/>
      <c r="M24" s="58"/>
      <c r="N24" s="58"/>
      <c r="O24" s="58"/>
      <c r="P24" s="58"/>
      <c r="Q24" s="58"/>
      <c r="R24" s="58"/>
      <c r="S24" s="58"/>
      <c r="T24" s="58"/>
      <c r="U24" s="58"/>
      <c r="V24" s="58"/>
      <c r="Y24" t="s">
        <v>50</v>
      </c>
      <c r="Z24">
        <f>Z14/(1-Z14)</f>
        <v>0.6666666666666667</v>
      </c>
      <c r="AB24">
        <f t="shared" si="4"/>
        <v>1.2500000000000004</v>
      </c>
      <c r="AC24" s="1">
        <f t="shared" si="0"/>
        <v>4.177289052604801</v>
      </c>
      <c r="AD24" s="1">
        <f t="shared" si="1"/>
        <v>4.601941343344162</v>
      </c>
      <c r="AE24" s="2">
        <f t="shared" si="2"/>
        <v>-9999</v>
      </c>
      <c r="AF24" s="2">
        <f t="shared" si="3"/>
        <v>-9999</v>
      </c>
    </row>
    <row r="25" spans="1:32" ht="12.75">
      <c r="A25" s="58"/>
      <c r="B25" s="58"/>
      <c r="C25" s="58"/>
      <c r="D25" s="58"/>
      <c r="E25" s="58"/>
      <c r="F25" s="58"/>
      <c r="G25" s="58"/>
      <c r="H25" s="58"/>
      <c r="I25" s="58"/>
      <c r="J25" s="58"/>
      <c r="K25" s="58"/>
      <c r="L25" s="58"/>
      <c r="M25" s="58"/>
      <c r="N25" s="58"/>
      <c r="O25" s="58"/>
      <c r="P25" s="58"/>
      <c r="Q25" s="58"/>
      <c r="R25" s="58"/>
      <c r="S25" s="58"/>
      <c r="T25" s="58"/>
      <c r="U25" s="58"/>
      <c r="V25" s="58"/>
      <c r="Y25" t="s">
        <v>83</v>
      </c>
      <c r="Z25">
        <f>1/(1+Z15)</f>
        <v>2.01</v>
      </c>
      <c r="AB25">
        <f t="shared" si="4"/>
        <v>1.3000000000000005</v>
      </c>
      <c r="AC25" s="1">
        <f t="shared" si="0"/>
        <v>3.900171829032982</v>
      </c>
      <c r="AD25" s="1">
        <f t="shared" si="1"/>
        <v>4.340229487749678</v>
      </c>
      <c r="AE25" s="2">
        <f t="shared" si="2"/>
        <v>-9999</v>
      </c>
      <c r="AF25" s="2">
        <f t="shared" si="3"/>
        <v>-9999</v>
      </c>
    </row>
    <row r="26" spans="1:32" ht="12.75">
      <c r="A26" s="58"/>
      <c r="B26" s="58"/>
      <c r="C26" s="58"/>
      <c r="D26" s="58"/>
      <c r="E26" s="58"/>
      <c r="F26" s="58"/>
      <c r="G26" s="58"/>
      <c r="H26" s="58"/>
      <c r="I26" s="58"/>
      <c r="J26" s="58"/>
      <c r="K26" s="58"/>
      <c r="L26" s="58"/>
      <c r="M26" s="58"/>
      <c r="N26" s="58"/>
      <c r="O26" s="58"/>
      <c r="P26" s="58"/>
      <c r="Q26" s="58"/>
      <c r="R26" s="58"/>
      <c r="S26" s="58"/>
      <c r="T26" s="58"/>
      <c r="U26" s="58"/>
      <c r="V26" s="58"/>
      <c r="AB26">
        <f t="shared" si="4"/>
        <v>1.3500000000000005</v>
      </c>
      <c r="AC26" s="1">
        <f t="shared" si="0"/>
        <v>3.6498614355113137</v>
      </c>
      <c r="AD26" s="1">
        <f t="shared" si="1"/>
        <v>4.100168810881442</v>
      </c>
      <c r="AE26" s="2">
        <f t="shared" si="2"/>
        <v>-9999</v>
      </c>
      <c r="AF26" s="2">
        <f t="shared" si="3"/>
        <v>-9999</v>
      </c>
    </row>
    <row r="27" spans="1:32" ht="12.75">
      <c r="A27" s="58"/>
      <c r="B27" s="58"/>
      <c r="C27" s="58"/>
      <c r="D27" s="58"/>
      <c r="E27" s="58"/>
      <c r="F27" s="58"/>
      <c r="G27" s="58"/>
      <c r="H27" s="58"/>
      <c r="I27" s="58"/>
      <c r="J27" s="58"/>
      <c r="K27" s="58"/>
      <c r="L27" s="58"/>
      <c r="M27" s="58"/>
      <c r="N27" s="58"/>
      <c r="O27" s="58"/>
      <c r="P27" s="58"/>
      <c r="Q27" s="58"/>
      <c r="R27" s="58"/>
      <c r="S27" s="58"/>
      <c r="T27" s="58"/>
      <c r="U27" s="58"/>
      <c r="V27" s="58"/>
      <c r="AB27">
        <f t="shared" si="4"/>
        <v>1.4000000000000006</v>
      </c>
      <c r="AC27" s="1">
        <f t="shared" si="0"/>
        <v>3.422992273998417</v>
      </c>
      <c r="AD27" s="1">
        <f t="shared" si="1"/>
        <v>3.8794389511872236</v>
      </c>
      <c r="AE27" s="2">
        <f t="shared" si="2"/>
        <v>-9999</v>
      </c>
      <c r="AF27" s="2">
        <f t="shared" si="3"/>
        <v>-9999</v>
      </c>
    </row>
    <row r="28" spans="1:32" ht="12.75">
      <c r="A28" s="58"/>
      <c r="B28" s="58"/>
      <c r="C28" s="58"/>
      <c r="D28" s="58"/>
      <c r="E28" s="58"/>
      <c r="F28" s="58"/>
      <c r="G28" s="58"/>
      <c r="H28" s="58"/>
      <c r="I28" s="58"/>
      <c r="J28" s="58"/>
      <c r="K28" s="58"/>
      <c r="L28" s="58"/>
      <c r="M28" s="58"/>
      <c r="N28" s="58"/>
      <c r="O28" s="58"/>
      <c r="P28" s="58"/>
      <c r="Q28" s="58"/>
      <c r="R28" s="58"/>
      <c r="S28" s="58"/>
      <c r="T28" s="58"/>
      <c r="U28" s="58"/>
      <c r="V28" s="58"/>
      <c r="W28" s="93" t="s">
        <v>110</v>
      </c>
      <c r="X28" s="93"/>
      <c r="Y28" s="93"/>
      <c r="Z28" s="93"/>
      <c r="AA28" s="93"/>
      <c r="AB28">
        <f t="shared" si="4"/>
        <v>1.4500000000000006</v>
      </c>
      <c r="AC28" s="1">
        <f t="shared" si="0"/>
        <v>3.216713273147387</v>
      </c>
      <c r="AD28" s="1">
        <f t="shared" si="1"/>
        <v>3.6760219147431275</v>
      </c>
      <c r="AE28" s="2">
        <f t="shared" si="2"/>
        <v>-9999</v>
      </c>
      <c r="AF28" s="2">
        <f t="shared" si="3"/>
        <v>-9999</v>
      </c>
    </row>
    <row r="29" spans="1:32" ht="12.75">
      <c r="A29" s="58"/>
      <c r="B29" s="58"/>
      <c r="C29" s="58"/>
      <c r="D29" s="58"/>
      <c r="E29" s="58"/>
      <c r="F29" s="58"/>
      <c r="G29" s="58"/>
      <c r="H29" s="58"/>
      <c r="I29" s="58"/>
      <c r="J29" s="58"/>
      <c r="K29" s="58"/>
      <c r="L29" s="58"/>
      <c r="M29" s="58"/>
      <c r="N29" s="58"/>
      <c r="O29" s="58"/>
      <c r="P29" s="58"/>
      <c r="Q29" s="58"/>
      <c r="R29" s="58"/>
      <c r="S29" s="58"/>
      <c r="T29" s="58"/>
      <c r="U29" s="58"/>
      <c r="V29" s="58"/>
      <c r="W29" t="s">
        <v>84</v>
      </c>
      <c r="X29" s="2">
        <f>ABS((Z19-Z18)/20)</f>
        <v>0.02</v>
      </c>
      <c r="AB29">
        <f t="shared" si="4"/>
        <v>1.5000000000000007</v>
      </c>
      <c r="AC29" s="1">
        <f t="shared" si="0"/>
        <v>3.0285958887924016</v>
      </c>
      <c r="AD29" s="1">
        <f t="shared" si="1"/>
        <v>3.48815603893708</v>
      </c>
      <c r="AE29" s="2">
        <f t="shared" si="2"/>
        <v>-9999</v>
      </c>
      <c r="AF29" s="2">
        <f t="shared" si="3"/>
        <v>-9999</v>
      </c>
    </row>
    <row r="30" spans="1:32" ht="12.75">
      <c r="A30" s="58"/>
      <c r="B30" s="58"/>
      <c r="C30" s="58"/>
      <c r="D30" s="58"/>
      <c r="E30" s="58"/>
      <c r="F30" s="58"/>
      <c r="G30" s="58"/>
      <c r="H30" s="58"/>
      <c r="I30" s="58"/>
      <c r="J30" s="58"/>
      <c r="K30" s="58"/>
      <c r="L30" s="58"/>
      <c r="M30" s="58"/>
      <c r="N30" s="58"/>
      <c r="O30" s="58"/>
      <c r="P30" s="58"/>
      <c r="Q30" s="58"/>
      <c r="R30" s="58"/>
      <c r="S30" s="58"/>
      <c r="T30" s="58"/>
      <c r="U30" s="58"/>
      <c r="V30" s="58"/>
      <c r="W30" t="s">
        <v>85</v>
      </c>
      <c r="X30" s="2">
        <f>MIN(Z18:Z19)</f>
        <v>0.5</v>
      </c>
      <c r="Y30">
        <f aca="true" t="shared" si="5" ref="Y30:Y50">Z$17/((X30+(X30/Z$24)^Z$25))</f>
        <v>18.852200481193726</v>
      </c>
      <c r="AB30">
        <f t="shared" si="4"/>
        <v>1.5500000000000007</v>
      </c>
      <c r="AC30" s="1">
        <f t="shared" si="0"/>
        <v>2.8565608177868103</v>
      </c>
      <c r="AD30" s="1">
        <f t="shared" si="1"/>
        <v>3.3142979244869872</v>
      </c>
      <c r="AE30" s="2">
        <f t="shared" si="2"/>
        <v>-9999</v>
      </c>
      <c r="AF30" s="2">
        <f t="shared" si="3"/>
        <v>-9999</v>
      </c>
    </row>
    <row r="31" spans="1:32" ht="12.75">
      <c r="A31" s="58"/>
      <c r="B31" s="58"/>
      <c r="C31" s="58"/>
      <c r="D31" s="58"/>
      <c r="E31" s="58"/>
      <c r="F31" s="58"/>
      <c r="G31" s="58"/>
      <c r="H31" s="58"/>
      <c r="I31" s="58"/>
      <c r="J31" s="58"/>
      <c r="K31" s="58"/>
      <c r="L31" s="58"/>
      <c r="M31" s="58"/>
      <c r="N31" s="58"/>
      <c r="O31" s="58"/>
      <c r="P31" s="58"/>
      <c r="Q31" s="58"/>
      <c r="R31" s="58"/>
      <c r="S31" s="58"/>
      <c r="T31" s="58"/>
      <c r="U31" s="58"/>
      <c r="V31" s="58"/>
      <c r="W31" t="s">
        <v>86</v>
      </c>
      <c r="X31" s="2">
        <f aca="true" t="shared" si="6" ref="X31:X50">X30+X$29</f>
        <v>0.52</v>
      </c>
      <c r="Y31">
        <f t="shared" si="5"/>
        <v>17.747957463158823</v>
      </c>
      <c r="AB31">
        <f t="shared" si="4"/>
        <v>1.6000000000000008</v>
      </c>
      <c r="AC31" s="1">
        <f t="shared" si="0"/>
        <v>2.69881918171599</v>
      </c>
      <c r="AD31" s="1">
        <f t="shared" si="1"/>
        <v>3.153090798720303</v>
      </c>
      <c r="AE31" s="2">
        <f t="shared" si="2"/>
        <v>-9999</v>
      </c>
      <c r="AF31" s="2">
        <f t="shared" si="3"/>
        <v>-9999</v>
      </c>
    </row>
    <row r="32" spans="1:32" ht="12.75">
      <c r="A32" s="58"/>
      <c r="B32" s="58"/>
      <c r="C32" s="58"/>
      <c r="D32" s="58"/>
      <c r="E32" s="58"/>
      <c r="F32" s="58"/>
      <c r="G32" s="58"/>
      <c r="H32" s="58"/>
      <c r="I32" s="58"/>
      <c r="J32" s="58"/>
      <c r="K32" s="58"/>
      <c r="L32" s="58"/>
      <c r="M32" s="58"/>
      <c r="N32" s="58"/>
      <c r="O32" s="58"/>
      <c r="P32" s="58"/>
      <c r="Q32" s="58"/>
      <c r="R32" s="58"/>
      <c r="S32" s="58"/>
      <c r="T32" s="58"/>
      <c r="U32" s="58"/>
      <c r="V32" s="58"/>
      <c r="W32" t="s">
        <v>87</v>
      </c>
      <c r="X32" s="2">
        <f t="shared" si="6"/>
        <v>0.54</v>
      </c>
      <c r="Y32">
        <f t="shared" si="5"/>
        <v>16.740339296424054</v>
      </c>
      <c r="AB32">
        <f t="shared" si="4"/>
        <v>1.6500000000000008</v>
      </c>
      <c r="AC32" s="1">
        <f t="shared" si="0"/>
        <v>2.5538249933808665</v>
      </c>
      <c r="AD32" s="1">
        <f t="shared" si="1"/>
        <v>3.00333809852459</v>
      </c>
      <c r="AE32" s="2">
        <f t="shared" si="2"/>
        <v>-9999</v>
      </c>
      <c r="AF32" s="2">
        <f t="shared" si="3"/>
        <v>-9999</v>
      </c>
    </row>
    <row r="33" spans="1:32" ht="12.75">
      <c r="A33" s="58"/>
      <c r="B33" s="58"/>
      <c r="C33" s="58"/>
      <c r="D33" s="58"/>
      <c r="E33" s="58"/>
      <c r="F33" s="58"/>
      <c r="G33" s="58"/>
      <c r="H33" s="58"/>
      <c r="I33" s="58"/>
      <c r="J33" s="58"/>
      <c r="K33" s="58"/>
      <c r="L33" s="58"/>
      <c r="M33" s="58"/>
      <c r="N33" s="58"/>
      <c r="O33" s="58"/>
      <c r="P33" s="58"/>
      <c r="Q33" s="58"/>
      <c r="R33" s="58"/>
      <c r="S33" s="58"/>
      <c r="T33" s="58"/>
      <c r="U33" s="58"/>
      <c r="V33" s="58"/>
      <c r="W33" t="s">
        <v>88</v>
      </c>
      <c r="X33" s="2">
        <f t="shared" si="6"/>
        <v>0.56</v>
      </c>
      <c r="Y33">
        <f t="shared" si="5"/>
        <v>15.818144057523094</v>
      </c>
      <c r="AB33">
        <f t="shared" si="4"/>
        <v>1.7000000000000008</v>
      </c>
      <c r="AC33" s="1">
        <f t="shared" si="0"/>
        <v>2.420236490088944</v>
      </c>
      <c r="AD33" s="1">
        <f t="shared" si="1"/>
        <v>2.8639813120898028</v>
      </c>
      <c r="AE33" s="2">
        <f t="shared" si="2"/>
        <v>-9999</v>
      </c>
      <c r="AF33" s="2">
        <f t="shared" si="3"/>
        <v>-9999</v>
      </c>
    </row>
    <row r="34" spans="1:32" ht="12.75">
      <c r="A34" s="58"/>
      <c r="B34" s="58"/>
      <c r="C34" s="58"/>
      <c r="D34" s="58"/>
      <c r="E34" s="58"/>
      <c r="F34" s="58"/>
      <c r="G34" s="58"/>
      <c r="H34" s="58"/>
      <c r="I34" s="58"/>
      <c r="J34" s="58"/>
      <c r="K34" s="58"/>
      <c r="L34" s="58"/>
      <c r="M34" s="58"/>
      <c r="N34" s="58"/>
      <c r="O34" s="58"/>
      <c r="P34" s="58"/>
      <c r="Q34" s="58"/>
      <c r="R34" s="58"/>
      <c r="S34" s="58"/>
      <c r="T34" s="58"/>
      <c r="U34" s="58"/>
      <c r="V34" s="58"/>
      <c r="W34" t="s">
        <v>89</v>
      </c>
      <c r="X34" s="2">
        <f t="shared" si="6"/>
        <v>0.5800000000000001</v>
      </c>
      <c r="Y34">
        <f t="shared" si="5"/>
        <v>14.971778283632407</v>
      </c>
      <c r="AB34">
        <f t="shared" si="4"/>
        <v>1.7500000000000009</v>
      </c>
      <c r="AC34" s="1">
        <f t="shared" si="0"/>
        <v>2.296884486426975</v>
      </c>
      <c r="AD34" s="1">
        <f t="shared" si="1"/>
        <v>2.7340813129611194</v>
      </c>
      <c r="AE34" s="2">
        <f t="shared" si="2"/>
        <v>-9999</v>
      </c>
      <c r="AF34" s="2">
        <f t="shared" si="3"/>
        <v>-9999</v>
      </c>
    </row>
    <row r="35" spans="1:32" ht="12.75">
      <c r="A35" s="58"/>
      <c r="B35" s="58"/>
      <c r="C35" s="58"/>
      <c r="D35" s="58"/>
      <c r="E35" s="58"/>
      <c r="F35" s="58"/>
      <c r="G35" s="58"/>
      <c r="H35" s="58"/>
      <c r="I35" s="58"/>
      <c r="J35" s="58"/>
      <c r="K35" s="58"/>
      <c r="L35" s="58"/>
      <c r="M35" s="58"/>
      <c r="N35" s="58"/>
      <c r="O35" s="58"/>
      <c r="P35" s="58"/>
      <c r="Q35" s="58"/>
      <c r="R35" s="58"/>
      <c r="S35" s="58"/>
      <c r="T35" s="58"/>
      <c r="U35" s="58"/>
      <c r="V35" s="58"/>
      <c r="W35" t="s">
        <v>90</v>
      </c>
      <c r="X35" s="2">
        <f t="shared" si="6"/>
        <v>0.6000000000000001</v>
      </c>
      <c r="Y35">
        <f t="shared" si="5"/>
        <v>14.192983120189469</v>
      </c>
      <c r="AB35">
        <f t="shared" si="4"/>
        <v>1.800000000000001</v>
      </c>
      <c r="AC35" s="1">
        <f t="shared" si="0"/>
        <v>2.1827463224807744</v>
      </c>
      <c r="AD35" s="1">
        <f t="shared" si="1"/>
        <v>2.6128025716061796</v>
      </c>
      <c r="AE35" s="2">
        <f t="shared" si="2"/>
        <v>-9999</v>
      </c>
      <c r="AF35" s="2">
        <f t="shared" si="3"/>
        <v>-9999</v>
      </c>
    </row>
    <row r="36" spans="1:32" ht="12.75">
      <c r="A36" s="58"/>
      <c r="B36" s="58"/>
      <c r="C36" s="58"/>
      <c r="D36" s="58"/>
      <c r="E36" s="58"/>
      <c r="F36" s="58"/>
      <c r="G36" s="58"/>
      <c r="H36" s="58"/>
      <c r="I36" s="58"/>
      <c r="J36" s="58"/>
      <c r="K36" s="58"/>
      <c r="L36" s="58"/>
      <c r="M36" s="58"/>
      <c r="N36" s="58"/>
      <c r="O36" s="58"/>
      <c r="P36" s="58"/>
      <c r="Q36" s="58"/>
      <c r="R36" s="58"/>
      <c r="S36" s="58"/>
      <c r="T36" s="58"/>
      <c r="U36" s="58"/>
      <c r="V36" s="58"/>
      <c r="W36" t="s">
        <v>91</v>
      </c>
      <c r="X36" s="2">
        <f t="shared" si="6"/>
        <v>0.6200000000000001</v>
      </c>
      <c r="Y36">
        <f t="shared" si="5"/>
        <v>13.47461408918416</v>
      </c>
      <c r="AB36">
        <f t="shared" si="4"/>
        <v>1.850000000000001</v>
      </c>
      <c r="AC36" s="1">
        <f t="shared" si="0"/>
        <v>2.076924301368289</v>
      </c>
      <c r="AD36" s="1">
        <f t="shared" si="1"/>
        <v>2.4993997487681936</v>
      </c>
      <c r="AE36" s="2">
        <f t="shared" si="2"/>
        <v>-9999</v>
      </c>
      <c r="AF36" s="2">
        <f t="shared" si="3"/>
        <v>-9999</v>
      </c>
    </row>
    <row r="37" spans="1:32" ht="12.75">
      <c r="A37" s="58"/>
      <c r="B37" s="58"/>
      <c r="C37" s="58"/>
      <c r="D37" s="58"/>
      <c r="E37" s="58"/>
      <c r="F37" s="58"/>
      <c r="G37" s="58"/>
      <c r="H37" s="58"/>
      <c r="I37" s="58"/>
      <c r="J37" s="58"/>
      <c r="K37" s="58"/>
      <c r="L37" s="58"/>
      <c r="M37" s="58"/>
      <c r="N37" s="58"/>
      <c r="O37" s="58"/>
      <c r="P37" s="58"/>
      <c r="Q37" s="58"/>
      <c r="R37" s="58"/>
      <c r="S37" s="58"/>
      <c r="T37" s="58"/>
      <c r="U37" s="58"/>
      <c r="V37" s="58"/>
      <c r="W37" t="s">
        <v>92</v>
      </c>
      <c r="X37" s="2">
        <f t="shared" si="6"/>
        <v>0.6400000000000001</v>
      </c>
      <c r="Y37">
        <f t="shared" si="5"/>
        <v>12.810462673582283</v>
      </c>
      <c r="AB37">
        <f t="shared" si="4"/>
        <v>1.900000000000001</v>
      </c>
      <c r="AC37" s="1">
        <f t="shared" si="0"/>
        <v>1.9786277506979542</v>
      </c>
      <c r="AD37" s="1">
        <f t="shared" si="1"/>
        <v>2.3932062688754234</v>
      </c>
      <c r="AE37" s="2">
        <f t="shared" si="2"/>
        <v>-9999</v>
      </c>
      <c r="AF37" s="2">
        <f t="shared" si="3"/>
        <v>-9999</v>
      </c>
    </row>
    <row r="38" spans="1:32" ht="12.75">
      <c r="A38" s="58"/>
      <c r="B38" s="58"/>
      <c r="C38" s="58"/>
      <c r="D38" s="58"/>
      <c r="E38" s="58"/>
      <c r="F38" s="58"/>
      <c r="G38" s="58"/>
      <c r="H38" s="58"/>
      <c r="I38" s="58"/>
      <c r="J38" s="58"/>
      <c r="K38" s="58"/>
      <c r="L38" s="58"/>
      <c r="M38" s="58"/>
      <c r="N38" s="58"/>
      <c r="O38" s="58"/>
      <c r="P38" s="58"/>
      <c r="Q38" s="58"/>
      <c r="R38" s="58"/>
      <c r="S38" s="58"/>
      <c r="T38" s="58"/>
      <c r="U38" s="58"/>
      <c r="V38" s="58"/>
      <c r="W38" t="s">
        <v>93</v>
      </c>
      <c r="X38" s="2">
        <f t="shared" si="6"/>
        <v>0.6600000000000001</v>
      </c>
      <c r="Y38">
        <f t="shared" si="5"/>
        <v>12.195110785196924</v>
      </c>
      <c r="AB38">
        <f t="shared" si="4"/>
        <v>1.950000000000001</v>
      </c>
      <c r="AC38" s="1">
        <f t="shared" si="0"/>
        <v>1.8871580263163121</v>
      </c>
      <c r="AD38" s="1">
        <f t="shared" si="1"/>
        <v>2.2936245463910168</v>
      </c>
      <c r="AE38" s="2">
        <f t="shared" si="2"/>
        <v>-9999</v>
      </c>
      <c r="AF38" s="2">
        <f t="shared" si="3"/>
        <v>-9999</v>
      </c>
    </row>
    <row r="39" spans="1:32" ht="12.75">
      <c r="A39" s="58"/>
      <c r="B39" s="58"/>
      <c r="C39" s="58"/>
      <c r="D39" s="58"/>
      <c r="E39" s="58"/>
      <c r="F39" s="58"/>
      <c r="G39" s="58"/>
      <c r="H39" s="58"/>
      <c r="I39" s="58"/>
      <c r="J39" s="58"/>
      <c r="K39" s="58"/>
      <c r="L39" s="58"/>
      <c r="M39" s="58"/>
      <c r="N39" s="58"/>
      <c r="O39" s="58"/>
      <c r="P39" s="58"/>
      <c r="Q39" s="58"/>
      <c r="R39" s="58"/>
      <c r="S39" s="58"/>
      <c r="T39" s="58"/>
      <c r="U39" s="58"/>
      <c r="V39" s="58"/>
      <c r="W39" t="s">
        <v>94</v>
      </c>
      <c r="X39" s="2">
        <f t="shared" si="6"/>
        <v>0.6800000000000002</v>
      </c>
      <c r="Y39">
        <f t="shared" si="5"/>
        <v>11.623811293483579</v>
      </c>
      <c r="AB39">
        <f t="shared" si="4"/>
        <v>2.000000000000001</v>
      </c>
      <c r="AC39" s="1">
        <f t="shared" si="0"/>
        <v>1.8018959180007206</v>
      </c>
      <c r="AD39" s="1">
        <f t="shared" si="1"/>
        <v>2.200117597521921</v>
      </c>
      <c r="AE39" s="2">
        <f t="shared" si="2"/>
        <v>-9999</v>
      </c>
      <c r="AF39" s="2">
        <f t="shared" si="3"/>
        <v>-9999</v>
      </c>
    </row>
    <row r="40" spans="1:32" ht="12.75">
      <c r="A40" s="58"/>
      <c r="B40" s="58"/>
      <c r="C40" s="58"/>
      <c r="D40" s="58"/>
      <c r="E40" s="58"/>
      <c r="F40" s="58"/>
      <c r="G40" s="58"/>
      <c r="H40" s="58"/>
      <c r="I40" s="58"/>
      <c r="J40" s="58"/>
      <c r="K40" s="58"/>
      <c r="L40" s="58"/>
      <c r="M40" s="58"/>
      <c r="N40" s="58"/>
      <c r="O40" s="58"/>
      <c r="P40" s="58"/>
      <c r="Q40" s="58"/>
      <c r="R40" s="58"/>
      <c r="S40" s="58"/>
      <c r="T40" s="58"/>
      <c r="U40" s="58"/>
      <c r="V40" s="58"/>
      <c r="W40" t="s">
        <v>95</v>
      </c>
      <c r="X40" s="2">
        <f t="shared" si="6"/>
        <v>0.7000000000000002</v>
      </c>
      <c r="Y40">
        <f t="shared" si="5"/>
        <v>11.092389359063525</v>
      </c>
      <c r="AB40">
        <f t="shared" si="4"/>
        <v>2.0500000000000007</v>
      </c>
      <c r="AC40" s="1">
        <f t="shared" si="0"/>
        <v>1.7222910261582418</v>
      </c>
      <c r="AD40" s="1">
        <f t="shared" si="1"/>
        <v>2.112201817445487</v>
      </c>
      <c r="AE40" s="2">
        <f t="shared" si="2"/>
        <v>-9999</v>
      </c>
      <c r="AF40" s="2">
        <f t="shared" si="3"/>
        <v>-9999</v>
      </c>
    </row>
    <row r="41" spans="1:32" ht="12.75">
      <c r="A41" s="58"/>
      <c r="B41" s="58"/>
      <c r="C41" s="58"/>
      <c r="D41" s="58"/>
      <c r="E41" s="58"/>
      <c r="F41" s="58"/>
      <c r="G41" s="58"/>
      <c r="H41" s="58"/>
      <c r="I41" s="58"/>
      <c r="J41" s="58"/>
      <c r="K41" s="58"/>
      <c r="L41" s="58"/>
      <c r="M41" s="58"/>
      <c r="N41" s="58"/>
      <c r="O41" s="58"/>
      <c r="P41" s="58"/>
      <c r="Q41" s="58"/>
      <c r="R41" s="58"/>
      <c r="S41" s="58"/>
      <c r="T41" s="58"/>
      <c r="U41" s="58"/>
      <c r="V41" s="58"/>
      <c r="W41" t="s">
        <v>100</v>
      </c>
      <c r="X41" s="2">
        <f t="shared" si="6"/>
        <v>0.7200000000000002</v>
      </c>
      <c r="Y41">
        <f t="shared" si="5"/>
        <v>10.597160489532637</v>
      </c>
      <c r="AB41">
        <f t="shared" si="4"/>
        <v>2.1000000000000005</v>
      </c>
      <c r="AC41" s="1">
        <f t="shared" si="0"/>
        <v>1.6478527638692209</v>
      </c>
      <c r="AD41" s="1">
        <f t="shared" si="1"/>
        <v>2.0294407416769507</v>
      </c>
      <c r="AE41" s="2">
        <f t="shared" si="2"/>
        <v>-9999</v>
      </c>
      <c r="AF41" s="2">
        <f t="shared" si="3"/>
        <v>-9999</v>
      </c>
    </row>
    <row r="42" spans="1:32" ht="12.75">
      <c r="A42" s="58"/>
      <c r="B42" s="58"/>
      <c r="C42" s="58"/>
      <c r="D42" s="58"/>
      <c r="E42" s="58"/>
      <c r="F42" s="58"/>
      <c r="G42" s="58"/>
      <c r="H42" s="58"/>
      <c r="I42" s="58"/>
      <c r="J42" s="58"/>
      <c r="K42" s="58"/>
      <c r="L42" s="58"/>
      <c r="M42" s="58"/>
      <c r="N42" s="58"/>
      <c r="O42" s="58"/>
      <c r="P42" s="58"/>
      <c r="Q42" s="58"/>
      <c r="R42" s="58"/>
      <c r="S42" s="58"/>
      <c r="T42" s="58"/>
      <c r="U42" s="58"/>
      <c r="V42" s="58"/>
      <c r="W42" t="s">
        <v>101</v>
      </c>
      <c r="X42" s="2">
        <f t="shared" si="6"/>
        <v>0.7400000000000002</v>
      </c>
      <c r="Y42">
        <f t="shared" si="5"/>
        <v>10.134862122545686</v>
      </c>
      <c r="Z42" s="57"/>
      <c r="AC42">
        <v>0</v>
      </c>
      <c r="AE42" s="2">
        <f t="shared" si="2"/>
        <v>50</v>
      </c>
      <c r="AF42" s="2">
        <f t="shared" si="3"/>
        <v>50</v>
      </c>
    </row>
    <row r="43" spans="1:25" ht="12.75">
      <c r="A43" s="58"/>
      <c r="B43" s="58"/>
      <c r="C43" s="58"/>
      <c r="D43" s="58"/>
      <c r="E43" s="58"/>
      <c r="F43" s="58"/>
      <c r="G43" s="58"/>
      <c r="H43" s="58"/>
      <c r="I43" s="58"/>
      <c r="J43" s="58"/>
      <c r="K43" s="58"/>
      <c r="L43" s="58"/>
      <c r="M43" s="58"/>
      <c r="N43" s="58"/>
      <c r="O43" s="58"/>
      <c r="P43" s="58"/>
      <c r="Q43" s="58"/>
      <c r="R43" s="58"/>
      <c r="S43" s="58"/>
      <c r="T43" s="58"/>
      <c r="U43" s="58"/>
      <c r="V43" s="58"/>
      <c r="W43" t="s">
        <v>102</v>
      </c>
      <c r="X43" s="2">
        <f t="shared" si="6"/>
        <v>0.7600000000000002</v>
      </c>
      <c r="Y43">
        <f t="shared" si="5"/>
        <v>9.70259621775131</v>
      </c>
    </row>
    <row r="44" spans="1:25" ht="12.75">
      <c r="A44" s="58"/>
      <c r="B44" s="58"/>
      <c r="C44" s="58"/>
      <c r="D44" s="58"/>
      <c r="E44" s="58"/>
      <c r="F44" s="58"/>
      <c r="G44" s="58"/>
      <c r="H44" s="58"/>
      <c r="I44" s="58"/>
      <c r="J44" s="58"/>
      <c r="K44" s="58"/>
      <c r="L44" s="58"/>
      <c r="M44" s="58"/>
      <c r="N44" s="58"/>
      <c r="O44" s="58"/>
      <c r="P44" s="58"/>
      <c r="Q44" s="58"/>
      <c r="R44" s="58"/>
      <c r="S44" s="58"/>
      <c r="T44" s="58"/>
      <c r="U44" s="58"/>
      <c r="V44" s="58"/>
      <c r="W44" t="s">
        <v>103</v>
      </c>
      <c r="X44" s="2">
        <f t="shared" si="6"/>
        <v>0.7800000000000002</v>
      </c>
      <c r="Y44">
        <f t="shared" si="5"/>
        <v>9.297780859055182</v>
      </c>
    </row>
    <row r="45" spans="1:25" ht="12.75">
      <c r="A45" s="58"/>
      <c r="B45" s="58"/>
      <c r="C45" s="58"/>
      <c r="D45" s="58"/>
      <c r="E45" s="58"/>
      <c r="F45" s="58"/>
      <c r="G45" s="58"/>
      <c r="H45" s="58"/>
      <c r="I45" s="58"/>
      <c r="J45" s="58"/>
      <c r="K45" s="58"/>
      <c r="L45" s="58"/>
      <c r="M45" s="58"/>
      <c r="N45" s="58"/>
      <c r="O45" s="58"/>
      <c r="P45" s="58"/>
      <c r="Q45" s="58"/>
      <c r="R45" s="58"/>
      <c r="S45" s="58"/>
      <c r="T45" s="58"/>
      <c r="U45" s="58"/>
      <c r="V45" s="58"/>
      <c r="W45" t="s">
        <v>104</v>
      </c>
      <c r="X45" s="2">
        <f t="shared" si="6"/>
        <v>0.8000000000000003</v>
      </c>
      <c r="Y45">
        <f t="shared" si="5"/>
        <v>8.918109271161276</v>
      </c>
    </row>
    <row r="46" spans="1:25" ht="12.75">
      <c r="A46" s="58"/>
      <c r="B46" s="58"/>
      <c r="C46" s="58"/>
      <c r="D46" s="58"/>
      <c r="E46" s="58"/>
      <c r="F46" s="58"/>
      <c r="G46" s="58"/>
      <c r="H46" s="58"/>
      <c r="I46" s="58"/>
      <c r="J46" s="58"/>
      <c r="K46" s="58"/>
      <c r="L46" s="58"/>
      <c r="M46" s="58"/>
      <c r="N46" s="58"/>
      <c r="O46" s="58"/>
      <c r="P46" s="58"/>
      <c r="Q46" s="58"/>
      <c r="R46" s="58"/>
      <c r="S46" s="58"/>
      <c r="T46" s="58"/>
      <c r="U46" s="58"/>
      <c r="V46" s="58"/>
      <c r="W46" t="s">
        <v>105</v>
      </c>
      <c r="X46" s="2">
        <f t="shared" si="6"/>
        <v>0.8200000000000003</v>
      </c>
      <c r="Y46">
        <f t="shared" si="5"/>
        <v>8.561514968092252</v>
      </c>
    </row>
    <row r="47" spans="1:25" ht="12.75">
      <c r="A47" s="58"/>
      <c r="B47" s="58"/>
      <c r="C47" s="58"/>
      <c r="D47" s="58"/>
      <c r="E47" s="58"/>
      <c r="F47" s="58"/>
      <c r="G47" s="58"/>
      <c r="H47" s="58"/>
      <c r="I47" s="58"/>
      <c r="J47" s="58"/>
      <c r="K47" s="58"/>
      <c r="L47" s="58"/>
      <c r="M47" s="58"/>
      <c r="N47" s="58"/>
      <c r="O47" s="58"/>
      <c r="P47" s="58"/>
      <c r="Q47" s="58"/>
      <c r="R47" s="58"/>
      <c r="S47" s="58"/>
      <c r="T47" s="58"/>
      <c r="U47" s="58"/>
      <c r="V47" s="58"/>
      <c r="W47" t="s">
        <v>106</v>
      </c>
      <c r="X47" s="2">
        <f t="shared" si="6"/>
        <v>0.8400000000000003</v>
      </c>
      <c r="Y47">
        <f t="shared" si="5"/>
        <v>8.226141997598608</v>
      </c>
    </row>
    <row r="48" spans="1:25" ht="12.75">
      <c r="A48" s="58"/>
      <c r="B48" s="58"/>
      <c r="C48" s="58"/>
      <c r="D48" s="58"/>
      <c r="E48" s="58"/>
      <c r="F48" s="58"/>
      <c r="G48" s="58"/>
      <c r="H48" s="58"/>
      <c r="I48" s="58"/>
      <c r="J48" s="58"/>
      <c r="K48" s="58"/>
      <c r="L48" s="58"/>
      <c r="M48" s="58"/>
      <c r="N48" s="58"/>
      <c r="O48" s="58"/>
      <c r="P48" s="58"/>
      <c r="Q48" s="58"/>
      <c r="R48" s="58"/>
      <c r="S48" s="58"/>
      <c r="T48" s="58"/>
      <c r="U48" s="58"/>
      <c r="V48" s="58"/>
      <c r="W48" t="s">
        <v>107</v>
      </c>
      <c r="X48" s="2">
        <f t="shared" si="6"/>
        <v>0.8600000000000003</v>
      </c>
      <c r="Y48">
        <f t="shared" si="5"/>
        <v>7.910319439784958</v>
      </c>
    </row>
    <row r="49" spans="1:29" ht="12.75">
      <c r="A49" s="58"/>
      <c r="B49" s="58"/>
      <c r="C49" s="58"/>
      <c r="D49" s="58"/>
      <c r="E49" s="58"/>
      <c r="F49" s="58"/>
      <c r="G49" s="58"/>
      <c r="H49" s="58"/>
      <c r="I49" s="58"/>
      <c r="J49" s="58"/>
      <c r="K49" s="58"/>
      <c r="L49" s="58"/>
      <c r="M49" s="58"/>
      <c r="N49" s="58"/>
      <c r="O49" s="58"/>
      <c r="P49" s="58"/>
      <c r="Q49" s="58"/>
      <c r="R49" s="58"/>
      <c r="S49" s="58"/>
      <c r="T49" s="58"/>
      <c r="U49" s="58"/>
      <c r="V49" s="58"/>
      <c r="W49" t="s">
        <v>108</v>
      </c>
      <c r="X49" s="2">
        <f t="shared" si="6"/>
        <v>0.8800000000000003</v>
      </c>
      <c r="Y49">
        <f t="shared" si="5"/>
        <v>7.612539472717843</v>
      </c>
      <c r="AB49" s="2"/>
      <c r="AC49" s="2"/>
    </row>
    <row r="50" spans="1:29" ht="12.75">
      <c r="A50" s="58"/>
      <c r="B50" s="58"/>
      <c r="C50" s="58"/>
      <c r="D50" s="58"/>
      <c r="E50" s="58"/>
      <c r="F50" s="58"/>
      <c r="G50" s="58"/>
      <c r="H50" s="58"/>
      <c r="I50" s="58"/>
      <c r="J50" s="58"/>
      <c r="K50" s="58"/>
      <c r="L50" s="58"/>
      <c r="M50" s="58"/>
      <c r="N50" s="58"/>
      <c r="O50" s="58"/>
      <c r="P50" s="58"/>
      <c r="Q50" s="58"/>
      <c r="R50" s="58"/>
      <c r="S50" s="58"/>
      <c r="T50" s="58"/>
      <c r="U50" s="58"/>
      <c r="V50" s="58"/>
      <c r="W50" t="s">
        <v>109</v>
      </c>
      <c r="X50" s="2">
        <f t="shared" si="6"/>
        <v>0.9000000000000004</v>
      </c>
      <c r="Y50">
        <f t="shared" si="5"/>
        <v>7.331438441148458</v>
      </c>
      <c r="AB50" s="2"/>
      <c r="AC50" s="2"/>
    </row>
    <row r="51" spans="1:28" ht="12.75">
      <c r="A51" s="58"/>
      <c r="B51" s="58"/>
      <c r="C51" s="58"/>
      <c r="D51" s="58"/>
      <c r="E51" s="58"/>
      <c r="F51" s="58"/>
      <c r="G51" s="58"/>
      <c r="H51" s="58"/>
      <c r="I51" s="58"/>
      <c r="J51" s="58"/>
      <c r="K51" s="58"/>
      <c r="L51" s="58"/>
      <c r="M51" s="58"/>
      <c r="N51" s="58"/>
      <c r="O51" s="58"/>
      <c r="P51" s="58"/>
      <c r="Q51" s="58"/>
      <c r="R51" s="58"/>
      <c r="S51" s="58"/>
      <c r="T51" s="58"/>
      <c r="U51" s="58"/>
      <c r="V51" s="58"/>
      <c r="W51" t="s">
        <v>19</v>
      </c>
      <c r="Y51">
        <f>(X29/3)*(Y30+Y50+2*(Y32+Y34+Y36+Y38+Y40+Y42+Y44+Y46+Y48)+4*(Y31+Y33+Y35+Y37+Y39+Y41+Y43+Y45+Y47+Y49))</f>
        <v>4.692937877033975</v>
      </c>
      <c r="AB51" s="2"/>
    </row>
    <row r="52" spans="1:26" ht="12.75">
      <c r="A52" s="58"/>
      <c r="B52" s="58"/>
      <c r="C52" s="58"/>
      <c r="D52" s="58"/>
      <c r="E52" s="58"/>
      <c r="F52" s="58"/>
      <c r="G52" s="58"/>
      <c r="H52" s="58"/>
      <c r="I52" s="58"/>
      <c r="J52" s="58"/>
      <c r="K52" s="58"/>
      <c r="L52" s="58"/>
      <c r="M52" s="58"/>
      <c r="N52" s="58"/>
      <c r="O52" s="58"/>
      <c r="P52" s="58"/>
      <c r="Q52" s="58"/>
      <c r="R52" s="58"/>
      <c r="S52" s="58"/>
      <c r="T52" s="58"/>
      <c r="U52" s="58"/>
      <c r="V52" s="58"/>
      <c r="W52" s="93" t="s">
        <v>96</v>
      </c>
      <c r="X52" s="93"/>
      <c r="Y52" s="93"/>
      <c r="Z52" s="93"/>
    </row>
    <row r="53" spans="1:22" ht="12.75">
      <c r="A53" s="58"/>
      <c r="B53" s="58"/>
      <c r="C53" s="58"/>
      <c r="D53" s="58"/>
      <c r="E53" s="58"/>
      <c r="F53" s="58"/>
      <c r="G53" s="58"/>
      <c r="H53" s="58"/>
      <c r="I53" s="58"/>
      <c r="J53" s="58"/>
      <c r="K53" s="58"/>
      <c r="L53" s="58"/>
      <c r="M53" s="58"/>
      <c r="N53" s="58"/>
      <c r="O53" s="58"/>
      <c r="P53" s="58"/>
      <c r="Q53" s="58"/>
      <c r="R53" s="58"/>
      <c r="S53" s="58"/>
      <c r="T53" s="58"/>
      <c r="U53" s="58"/>
      <c r="V53" s="58"/>
    </row>
    <row r="54" spans="1:25" ht="12.75">
      <c r="A54" s="58"/>
      <c r="B54" s="58"/>
      <c r="C54" s="58"/>
      <c r="D54" s="58"/>
      <c r="E54" s="58"/>
      <c r="F54" s="58"/>
      <c r="G54" s="58"/>
      <c r="H54" s="58"/>
      <c r="I54" s="58"/>
      <c r="J54" s="58"/>
      <c r="K54" s="58"/>
      <c r="L54" s="58"/>
      <c r="M54" s="58"/>
      <c r="N54" s="58"/>
      <c r="O54" s="58"/>
      <c r="P54" s="58"/>
      <c r="Q54" s="58"/>
      <c r="R54" s="58"/>
      <c r="S54" s="58"/>
      <c r="T54" s="58"/>
      <c r="U54" s="58"/>
      <c r="V54" s="58"/>
      <c r="W54" s="93" t="s">
        <v>97</v>
      </c>
      <c r="X54" s="93"/>
      <c r="Y54">
        <f>X29*((Y30+Y50)/2+SUM(Y31:Y49))</f>
        <v>4.694408694416984</v>
      </c>
    </row>
    <row r="55" spans="2:25" ht="12.75">
      <c r="B55" s="4"/>
      <c r="C55" s="4"/>
      <c r="D55" s="4"/>
      <c r="E55" s="4"/>
      <c r="F55" s="4"/>
      <c r="G55" s="4"/>
      <c r="H55" s="4"/>
      <c r="I55" s="4"/>
      <c r="J55" s="4"/>
      <c r="K55" s="4"/>
      <c r="L55" s="4"/>
      <c r="M55" s="4"/>
      <c r="N55" s="4"/>
      <c r="O55" s="4"/>
      <c r="P55" s="4"/>
      <c r="Q55" s="4"/>
      <c r="R55" s="4"/>
      <c r="S55" s="4"/>
      <c r="T55" s="4"/>
      <c r="U55" s="4"/>
      <c r="V55" s="4"/>
      <c r="W55" t="s">
        <v>98</v>
      </c>
      <c r="Y55" s="2">
        <f>X29*SUM(Y30:Y49)</f>
        <v>4.809616314817436</v>
      </c>
    </row>
    <row r="56" spans="2:25" ht="12.75">
      <c r="B56" s="4"/>
      <c r="C56" s="4"/>
      <c r="D56" s="4"/>
      <c r="E56" s="4"/>
      <c r="F56" s="4"/>
      <c r="G56" s="4"/>
      <c r="H56" s="4"/>
      <c r="I56" s="4"/>
      <c r="J56" s="4"/>
      <c r="K56" s="4"/>
      <c r="L56" s="4"/>
      <c r="M56" s="4"/>
      <c r="N56" s="4"/>
      <c r="O56" s="4"/>
      <c r="P56" s="4"/>
      <c r="Q56" s="4"/>
      <c r="R56" s="4"/>
      <c r="S56" s="4"/>
      <c r="T56" s="4"/>
      <c r="U56" s="4"/>
      <c r="V56" s="4"/>
      <c r="W56" t="s">
        <v>99</v>
      </c>
      <c r="Y56" s="2">
        <f>X29*SUM(Y31:Y50)</f>
        <v>4.579201074016531</v>
      </c>
    </row>
    <row r="57" spans="2:22" ht="12.75">
      <c r="B57" s="4"/>
      <c r="C57" s="4"/>
      <c r="D57" s="4"/>
      <c r="E57" s="4"/>
      <c r="F57" s="4"/>
      <c r="G57" s="4"/>
      <c r="H57" s="4"/>
      <c r="I57" s="4"/>
      <c r="J57" s="4"/>
      <c r="K57" s="4"/>
      <c r="L57" s="4"/>
      <c r="M57" s="4"/>
      <c r="N57" s="4"/>
      <c r="O57" s="4"/>
      <c r="P57" s="4"/>
      <c r="Q57" s="4"/>
      <c r="R57" s="4"/>
      <c r="S57" s="4"/>
      <c r="T57" s="4"/>
      <c r="U57" s="4"/>
      <c r="V57" s="4"/>
    </row>
    <row r="58" spans="2:22" ht="12.75">
      <c r="B58" s="4"/>
      <c r="C58" s="4"/>
      <c r="D58" s="4"/>
      <c r="E58" s="4"/>
      <c r="F58" s="4"/>
      <c r="G58" s="4"/>
      <c r="H58" s="4"/>
      <c r="I58" s="4"/>
      <c r="J58" s="4"/>
      <c r="K58" s="4"/>
      <c r="L58" s="4"/>
      <c r="M58" s="4"/>
      <c r="N58" s="4"/>
      <c r="O58" s="4"/>
      <c r="P58" s="4"/>
      <c r="Q58" s="4"/>
      <c r="R58" s="4"/>
      <c r="S58" s="4"/>
      <c r="T58" s="4"/>
      <c r="U58" s="4"/>
      <c r="V58" s="4"/>
    </row>
    <row r="59" spans="2:24" ht="12.75">
      <c r="B59" s="4"/>
      <c r="C59" s="4"/>
      <c r="D59" s="4"/>
      <c r="E59" s="4"/>
      <c r="F59" s="4"/>
      <c r="G59" s="4"/>
      <c r="H59" s="4"/>
      <c r="I59" s="4"/>
      <c r="J59" s="4"/>
      <c r="K59" s="4"/>
      <c r="L59" s="4"/>
      <c r="M59" s="4"/>
      <c r="N59" s="4"/>
      <c r="O59" s="4"/>
      <c r="P59" s="4"/>
      <c r="Q59" s="4"/>
      <c r="R59" s="4"/>
      <c r="S59" s="4"/>
      <c r="T59" s="4"/>
      <c r="U59" s="4"/>
      <c r="V59" s="4"/>
      <c r="X59">
        <f>Y54-Y51</f>
        <v>0.0014708173830086935</v>
      </c>
    </row>
    <row r="60" spans="2:22" ht="12.75">
      <c r="B60" s="4"/>
      <c r="C60" s="4"/>
      <c r="D60" s="4"/>
      <c r="E60" s="4"/>
      <c r="F60" s="4"/>
      <c r="G60" s="4"/>
      <c r="H60" s="4"/>
      <c r="I60" s="4"/>
      <c r="J60" s="4"/>
      <c r="K60" s="4"/>
      <c r="L60" s="4"/>
      <c r="M60" s="4"/>
      <c r="N60" s="4"/>
      <c r="O60" s="4"/>
      <c r="P60" s="4"/>
      <c r="Q60" s="4"/>
      <c r="R60" s="4"/>
      <c r="S60" s="4"/>
      <c r="T60" s="4"/>
      <c r="U60" s="4"/>
      <c r="V60" s="4"/>
    </row>
    <row r="61" spans="2:22" ht="12.75">
      <c r="B61" s="4"/>
      <c r="C61" s="4"/>
      <c r="D61" s="4"/>
      <c r="E61" s="4"/>
      <c r="F61" s="4"/>
      <c r="G61" s="4"/>
      <c r="H61" s="4"/>
      <c r="I61" s="4"/>
      <c r="J61" s="4"/>
      <c r="K61" s="4"/>
      <c r="L61" s="4"/>
      <c r="M61" s="4"/>
      <c r="N61" s="4"/>
      <c r="O61" s="4"/>
      <c r="P61" s="4"/>
      <c r="Q61" s="4"/>
      <c r="R61" s="4"/>
      <c r="S61" s="4"/>
      <c r="T61" s="4"/>
      <c r="U61" s="4"/>
      <c r="V61" s="4"/>
    </row>
    <row r="62" spans="2:22" ht="12.75">
      <c r="B62" s="4"/>
      <c r="C62" s="4"/>
      <c r="D62" s="4"/>
      <c r="E62" s="4"/>
      <c r="F62" s="4"/>
      <c r="G62" s="4"/>
      <c r="H62" s="4"/>
      <c r="I62" s="4"/>
      <c r="J62" s="4"/>
      <c r="K62" s="4"/>
      <c r="L62" s="4"/>
      <c r="M62" s="4"/>
      <c r="N62" s="4"/>
      <c r="O62" s="4"/>
      <c r="P62" s="4"/>
      <c r="Q62" s="4"/>
      <c r="R62" s="4"/>
      <c r="S62" s="4"/>
      <c r="T62" s="4"/>
      <c r="U62" s="4"/>
      <c r="V62" s="4"/>
    </row>
    <row r="63" spans="7:22" ht="12.75">
      <c r="G63" s="4"/>
      <c r="H63" s="4"/>
      <c r="I63" s="4"/>
      <c r="J63" s="4"/>
      <c r="K63" s="4"/>
      <c r="L63" s="4"/>
      <c r="M63" s="4"/>
      <c r="N63" s="4"/>
      <c r="O63" s="4"/>
      <c r="P63" s="4"/>
      <c r="Q63" s="4"/>
      <c r="R63" s="4"/>
      <c r="S63" s="4"/>
      <c r="T63" s="4"/>
      <c r="U63" s="4"/>
      <c r="V63" s="4"/>
    </row>
    <row r="64" spans="7:22" ht="12.75">
      <c r="G64" s="4"/>
      <c r="H64" s="4"/>
      <c r="I64" s="4"/>
      <c r="J64" s="4"/>
      <c r="K64" s="4"/>
      <c r="L64" s="4"/>
      <c r="M64" s="4"/>
      <c r="N64" s="4"/>
      <c r="O64" s="4"/>
      <c r="P64" s="4"/>
      <c r="Q64" s="4"/>
      <c r="R64" s="4"/>
      <c r="S64" s="4"/>
      <c r="T64" s="4"/>
      <c r="U64" s="4"/>
      <c r="V64" s="4"/>
    </row>
    <row r="65" spans="7:22" ht="12.75">
      <c r="G65" s="4"/>
      <c r="H65" s="4"/>
      <c r="I65" s="4"/>
      <c r="J65" s="4"/>
      <c r="K65" s="4"/>
      <c r="L65" s="4"/>
      <c r="M65" s="4"/>
      <c r="N65" s="4"/>
      <c r="O65" s="4"/>
      <c r="P65" s="4"/>
      <c r="Q65" s="4"/>
      <c r="R65" s="4"/>
      <c r="S65" s="4"/>
      <c r="T65" s="4"/>
      <c r="U65" s="4"/>
      <c r="V65" s="4"/>
    </row>
    <row r="66" spans="7:22" ht="12.75">
      <c r="G66" s="4"/>
      <c r="H66" s="4"/>
      <c r="I66" s="4"/>
      <c r="J66" s="4"/>
      <c r="K66" s="4"/>
      <c r="L66" s="4"/>
      <c r="M66" s="4"/>
      <c r="N66" s="4"/>
      <c r="O66" s="4"/>
      <c r="P66" s="4"/>
      <c r="Q66" s="4"/>
      <c r="R66" s="4"/>
      <c r="S66" s="4"/>
      <c r="T66" s="4"/>
      <c r="U66" s="4"/>
      <c r="V66" s="4"/>
    </row>
    <row r="67" spans="7:22" ht="12.75">
      <c r="G67" s="4"/>
      <c r="H67" s="4"/>
      <c r="I67" s="4"/>
      <c r="J67" s="4"/>
      <c r="K67" s="4"/>
      <c r="L67" s="4"/>
      <c r="M67" s="4"/>
      <c r="N67" s="4"/>
      <c r="O67" s="4"/>
      <c r="P67" s="4"/>
      <c r="Q67" s="4"/>
      <c r="R67" s="4"/>
      <c r="S67" s="4"/>
      <c r="T67" s="4"/>
      <c r="U67" s="4"/>
      <c r="V67" s="4"/>
    </row>
  </sheetData>
  <mergeCells count="15">
    <mergeCell ref="B10:D10"/>
    <mergeCell ref="W52:Z52"/>
    <mergeCell ref="W54:X54"/>
    <mergeCell ref="W28:AA28"/>
    <mergeCell ref="B16:E16"/>
    <mergeCell ref="B15:E15"/>
    <mergeCell ref="B17:D17"/>
    <mergeCell ref="B18:D18"/>
    <mergeCell ref="B19:D19"/>
    <mergeCell ref="B2:F2"/>
    <mergeCell ref="B9:D9"/>
    <mergeCell ref="B5:C5"/>
    <mergeCell ref="B6:C6"/>
    <mergeCell ref="B7:C7"/>
    <mergeCell ref="B8:C8"/>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BJ89"/>
  <sheetViews>
    <sheetView workbookViewId="0" topLeftCell="A1">
      <selection activeCell="I30" sqref="I30"/>
    </sheetView>
  </sheetViews>
  <sheetFormatPr defaultColWidth="9.140625" defaultRowHeight="12.75"/>
  <cols>
    <col min="1" max="1" width="3.28125" style="0" customWidth="1"/>
    <col min="3" max="6" width="7.57421875" style="0" bestFit="1" customWidth="1"/>
    <col min="7" max="7" width="2.140625" style="0" customWidth="1"/>
    <col min="8" max="8" width="4.8515625" style="0" bestFit="1" customWidth="1"/>
    <col min="9" max="9" width="7.140625" style="0" customWidth="1"/>
    <col min="13" max="13" width="6.8515625" style="0" customWidth="1"/>
  </cols>
  <sheetData>
    <row r="1" spans="1:62" ht="12.75">
      <c r="A1" s="4"/>
      <c r="B1" s="4"/>
      <c r="C1" s="4"/>
      <c r="D1" s="4"/>
      <c r="E1" s="4"/>
      <c r="F1" s="4"/>
      <c r="G1" s="4"/>
      <c r="H1" s="4"/>
      <c r="I1" s="70" t="s">
        <v>82</v>
      </c>
      <c r="J1" s="71"/>
      <c r="K1" s="71"/>
      <c r="L1" s="71"/>
      <c r="M1" s="71"/>
      <c r="N1" s="71"/>
      <c r="O1" s="72"/>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2:6" s="4" customFormat="1" ht="12.75">
      <c r="B2" s="67" t="s">
        <v>81</v>
      </c>
      <c r="C2" s="69"/>
      <c r="D2" s="69"/>
      <c r="E2" s="69"/>
      <c r="F2" s="68"/>
    </row>
    <row r="3" spans="1:62" ht="14.25">
      <c r="A3" s="4"/>
      <c r="B3" s="8" t="s">
        <v>0</v>
      </c>
      <c r="C3" s="8" t="s">
        <v>13</v>
      </c>
      <c r="D3" s="22" t="s">
        <v>14</v>
      </c>
      <c r="E3" s="22" t="s">
        <v>15</v>
      </c>
      <c r="F3" s="22" t="s">
        <v>17</v>
      </c>
      <c r="G3" s="4"/>
      <c r="H3" s="4"/>
      <c r="I3" s="4"/>
      <c r="J3" s="4"/>
      <c r="K3" s="4"/>
      <c r="L3" s="4"/>
      <c r="M3" s="4"/>
      <c r="N3" s="4"/>
      <c r="O3" s="4"/>
      <c r="P3" s="4"/>
      <c r="Q3" s="4"/>
      <c r="R3" s="4"/>
      <c r="S3" s="4"/>
      <c r="T3" s="4"/>
      <c r="U3" s="4"/>
      <c r="V3" s="4"/>
      <c r="W3" s="4"/>
      <c r="X3" s="4"/>
      <c r="Y3" s="4"/>
      <c r="Z3" s="4"/>
      <c r="AA3" s="4"/>
      <c r="AB3" s="4"/>
      <c r="AC3" s="4" t="s">
        <v>22</v>
      </c>
      <c r="AD3" s="4"/>
      <c r="AE3" s="4"/>
      <c r="AF3" s="4" t="s">
        <v>25</v>
      </c>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12.75">
      <c r="A4" s="4"/>
      <c r="B4" s="8">
        <v>1</v>
      </c>
      <c r="C4" s="32">
        <f aca="true" t="shared" si="0" ref="C4:C24">F$26*(F$27*B4^-AD$5+(1-F$27)*C$26^-AD$5)^-(1/$AD$5)</f>
        <v>30.35276133510127</v>
      </c>
      <c r="D4" s="32">
        <f aca="true" t="shared" si="1" ref="D4:D24">F$26*(F$27*(B4^-AD$5)+(1-F$27)*(C$27^-AD$5))^-(1/$AD$5)</f>
        <v>52.84144134272104</v>
      </c>
      <c r="E4" s="32">
        <f aca="true" t="shared" si="2" ref="E4:E24">F$26*(F$27*B4^-AD$5+(1-F$27)*C$28^-AD$5)^-(1/$AD$5)</f>
        <v>74.30332739843199</v>
      </c>
      <c r="F4" s="32">
        <f aca="true" t="shared" si="3" ref="F4:F24">F$26*(F$27*B4^-AD$5+(1-F$27)*C$29^-AD$5)^-(1/$AD$5)</f>
        <v>95.23411214622611</v>
      </c>
      <c r="G4" s="4"/>
      <c r="H4" s="4"/>
      <c r="I4" s="4"/>
      <c r="J4" s="4"/>
      <c r="K4" s="4"/>
      <c r="L4" s="4"/>
      <c r="M4" s="4"/>
      <c r="N4" s="4"/>
      <c r="O4" s="4"/>
      <c r="P4" s="4"/>
      <c r="Q4" s="4"/>
      <c r="R4" s="4"/>
      <c r="S4" s="4"/>
      <c r="T4" s="4"/>
      <c r="U4" s="4"/>
      <c r="V4" s="4"/>
      <c r="W4" s="4"/>
      <c r="X4" s="4"/>
      <c r="Y4" s="4"/>
      <c r="Z4" s="4"/>
      <c r="AA4" s="4"/>
      <c r="AB4" s="4"/>
      <c r="AC4" s="4" t="s">
        <v>23</v>
      </c>
      <c r="AD4" s="4">
        <v>201</v>
      </c>
      <c r="AE4" s="4"/>
      <c r="AF4" s="4" t="s">
        <v>26</v>
      </c>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12.75">
      <c r="A5" s="4"/>
      <c r="B5" s="8">
        <f>B4+1</f>
        <v>2</v>
      </c>
      <c r="C5" s="32">
        <f t="shared" si="0"/>
        <v>36.38730671344873</v>
      </c>
      <c r="D5" s="32">
        <f t="shared" si="1"/>
        <v>60.705522670202555</v>
      </c>
      <c r="E5" s="32">
        <f t="shared" si="2"/>
        <v>83.57017228367225</v>
      </c>
      <c r="F5" s="32">
        <f t="shared" si="3"/>
        <v>105.68288268544205</v>
      </c>
      <c r="G5" s="4"/>
      <c r="H5" s="4"/>
      <c r="I5" s="4"/>
      <c r="J5" s="4"/>
      <c r="K5" s="4"/>
      <c r="L5" s="4"/>
      <c r="M5" s="4"/>
      <c r="N5" s="4"/>
      <c r="O5" s="4"/>
      <c r="P5" s="4"/>
      <c r="Q5" s="4"/>
      <c r="R5" s="4"/>
      <c r="S5" s="4"/>
      <c r="T5" s="4"/>
      <c r="U5" s="4"/>
      <c r="V5" s="4"/>
      <c r="W5" s="4"/>
      <c r="X5" s="4"/>
      <c r="Y5" s="4"/>
      <c r="Z5" s="4"/>
      <c r="AA5" s="4"/>
      <c r="AB5" s="4"/>
      <c r="AC5" s="4" t="s">
        <v>24</v>
      </c>
      <c r="AD5" s="4">
        <f>(1-F28)/F28</f>
        <v>-0.5024875621890547</v>
      </c>
      <c r="AE5" s="4"/>
      <c r="AF5" s="4" t="s">
        <v>27</v>
      </c>
      <c r="AG5" s="4">
        <v>40</v>
      </c>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12.75">
      <c r="A6" s="4"/>
      <c r="B6" s="8">
        <f>B5+1</f>
        <v>3</v>
      </c>
      <c r="C6" s="32">
        <f t="shared" si="0"/>
        <v>41.393412371501164</v>
      </c>
      <c r="D6" s="32">
        <f t="shared" si="1"/>
        <v>67.11640826204608</v>
      </c>
      <c r="E6" s="32">
        <f t="shared" si="2"/>
        <v>91.05828400530383</v>
      </c>
      <c r="F6" s="32">
        <f t="shared" si="3"/>
        <v>114.07869678371344</v>
      </c>
      <c r="G6" s="5"/>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12.75">
      <c r="A7" s="4"/>
      <c r="B7" s="8">
        <f aca="true" t="shared" si="4" ref="B7:B24">B6+1</f>
        <v>4</v>
      </c>
      <c r="C7" s="32">
        <f t="shared" si="0"/>
        <v>45.866923246168966</v>
      </c>
      <c r="D7" s="32">
        <f t="shared" si="1"/>
        <v>72.77461342689749</v>
      </c>
      <c r="E7" s="32">
        <f t="shared" si="2"/>
        <v>97.62502977981313</v>
      </c>
      <c r="F7" s="32">
        <f t="shared" si="3"/>
        <v>121.4110453404051</v>
      </c>
      <c r="G7" s="5"/>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2.75">
      <c r="A8" s="4"/>
      <c r="B8" s="8">
        <f t="shared" si="4"/>
        <v>5</v>
      </c>
      <c r="C8" s="32">
        <f t="shared" si="0"/>
        <v>49.99999999999999</v>
      </c>
      <c r="D8" s="32">
        <f t="shared" si="1"/>
        <v>77.95165132766344</v>
      </c>
      <c r="E8" s="32">
        <f t="shared" si="2"/>
        <v>103.60273765668234</v>
      </c>
      <c r="F8" s="32">
        <f t="shared" si="3"/>
        <v>128.06348437230648</v>
      </c>
      <c r="G8" s="5"/>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2.75">
      <c r="A9" s="4"/>
      <c r="B9" s="8">
        <f t="shared" si="4"/>
        <v>6</v>
      </c>
      <c r="C9" s="32">
        <f t="shared" si="0"/>
        <v>53.89122352046164</v>
      </c>
      <c r="D9" s="32">
        <f t="shared" si="1"/>
        <v>82.78682474300233</v>
      </c>
      <c r="E9" s="32">
        <f t="shared" si="2"/>
        <v>109.1619201403462</v>
      </c>
      <c r="F9" s="32">
        <f t="shared" si="3"/>
        <v>134.23281652409213</v>
      </c>
      <c r="G9" s="5"/>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2.75">
      <c r="A10" s="4"/>
      <c r="B10" s="8">
        <f t="shared" si="4"/>
        <v>7</v>
      </c>
      <c r="C10" s="32">
        <f t="shared" si="0"/>
        <v>57.599166958830175</v>
      </c>
      <c r="D10" s="32">
        <f t="shared" si="1"/>
        <v>87.36290859868586</v>
      </c>
      <c r="E10" s="32">
        <f t="shared" si="2"/>
        <v>114.40390117229026</v>
      </c>
      <c r="F10" s="32">
        <f t="shared" si="3"/>
        <v>140.03599106571343</v>
      </c>
      <c r="G10" s="5"/>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2.75">
      <c r="A11" s="4"/>
      <c r="B11" s="8">
        <f t="shared" si="4"/>
        <v>8</v>
      </c>
      <c r="C11" s="32">
        <f t="shared" si="0"/>
        <v>61.16199937464174</v>
      </c>
      <c r="D11" s="32">
        <f t="shared" si="1"/>
        <v>91.73384649233793</v>
      </c>
      <c r="E11" s="32">
        <f t="shared" si="2"/>
        <v>119.39471476320621</v>
      </c>
      <c r="F11" s="32">
        <f t="shared" si="3"/>
        <v>145.54922685379492</v>
      </c>
      <c r="G11" s="5"/>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12.75">
      <c r="A12" s="4"/>
      <c r="B12" s="8">
        <f t="shared" si="4"/>
        <v>9</v>
      </c>
      <c r="C12" s="32">
        <f t="shared" si="0"/>
        <v>64.60623589686786</v>
      </c>
      <c r="D12" s="32">
        <f t="shared" si="1"/>
        <v>95.93711387622959</v>
      </c>
      <c r="E12" s="32">
        <f t="shared" si="2"/>
        <v>124.18023711450346</v>
      </c>
      <c r="F12" s="32">
        <f t="shared" si="3"/>
        <v>150.82547687689538</v>
      </c>
      <c r="G12" s="5"/>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12.75">
      <c r="A13" s="4"/>
      <c r="B13" s="8">
        <f t="shared" si="4"/>
        <v>10</v>
      </c>
      <c r="C13" s="32">
        <f t="shared" si="0"/>
        <v>67.95118360008757</v>
      </c>
      <c r="D13" s="32">
        <f t="shared" si="1"/>
        <v>100.00000000000001</v>
      </c>
      <c r="E13" s="32">
        <f t="shared" si="2"/>
        <v>128.79387570160011</v>
      </c>
      <c r="F13" s="32">
        <f t="shared" si="3"/>
        <v>155.90330265532683</v>
      </c>
      <c r="G13" s="5"/>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ht="12.75">
      <c r="A14" s="4"/>
      <c r="B14" s="8">
        <f t="shared" si="4"/>
        <v>11</v>
      </c>
      <c r="C14" s="32">
        <f t="shared" si="0"/>
        <v>71.21141869256887</v>
      </c>
      <c r="D14" s="32">
        <f t="shared" si="1"/>
        <v>103.94310829306214</v>
      </c>
      <c r="E14" s="32">
        <f t="shared" si="2"/>
        <v>133.26085383171542</v>
      </c>
      <c r="F14" s="32">
        <f t="shared" si="3"/>
        <v>160.8118193596262</v>
      </c>
      <c r="G14" s="5"/>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12.75">
      <c r="A15" s="4"/>
      <c r="B15" s="8">
        <f t="shared" si="4"/>
        <v>12</v>
      </c>
      <c r="C15" s="32">
        <f t="shared" si="0"/>
        <v>74.39826600716187</v>
      </c>
      <c r="D15" s="32">
        <f t="shared" si="1"/>
        <v>107.78244704092327</v>
      </c>
      <c r="E15" s="32">
        <f t="shared" si="2"/>
        <v>137.60076973850684</v>
      </c>
      <c r="F15" s="32">
        <f t="shared" si="3"/>
        <v>165.57364948600457</v>
      </c>
      <c r="G15" s="5"/>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12.75">
      <c r="A16" s="4"/>
      <c r="B16" s="8">
        <f t="shared" si="4"/>
        <v>13</v>
      </c>
      <c r="C16" s="32">
        <f t="shared" si="0"/>
        <v>77.5207319490039</v>
      </c>
      <c r="D16" s="32">
        <f t="shared" si="1"/>
        <v>111.53074778843761</v>
      </c>
      <c r="E16" s="32">
        <f t="shared" si="2"/>
        <v>141.82921040592373</v>
      </c>
      <c r="F16" s="32">
        <f t="shared" si="3"/>
        <v>170.20678553463713</v>
      </c>
      <c r="G16" s="5"/>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7" spans="1:62" ht="12.75">
      <c r="A17" s="4"/>
      <c r="B17" s="8">
        <f t="shared" si="4"/>
        <v>14</v>
      </c>
      <c r="C17" s="32">
        <f t="shared" si="0"/>
        <v>80.58611910972317</v>
      </c>
      <c r="D17" s="32">
        <f t="shared" si="1"/>
        <v>115.19833391766034</v>
      </c>
      <c r="E17" s="32">
        <f t="shared" si="2"/>
        <v>145.95881479115357</v>
      </c>
      <c r="F17" s="32">
        <f t="shared" si="3"/>
        <v>174.72581719737155</v>
      </c>
      <c r="G17" s="5"/>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ht="12.75">
      <c r="A18" s="4"/>
      <c r="B18" s="8">
        <f t="shared" si="4"/>
        <v>15</v>
      </c>
      <c r="C18" s="32">
        <f t="shared" si="0"/>
        <v>83.60044602490198</v>
      </c>
      <c r="D18" s="32">
        <f t="shared" si="1"/>
        <v>118.7937138718432</v>
      </c>
      <c r="E18" s="32">
        <f t="shared" si="2"/>
        <v>150</v>
      </c>
      <c r="F18" s="32">
        <f t="shared" si="3"/>
        <v>179.14276952906016</v>
      </c>
      <c r="G18" s="5"/>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12.75">
      <c r="A19" s="4"/>
      <c r="B19" s="8">
        <f t="shared" si="4"/>
        <v>16</v>
      </c>
      <c r="C19" s="32">
        <f t="shared" si="0"/>
        <v>86.56874264898347</v>
      </c>
      <c r="D19" s="32">
        <f t="shared" si="1"/>
        <v>122.3239987492835</v>
      </c>
      <c r="E19" s="32">
        <f t="shared" si="2"/>
        <v>153.96147247846096</v>
      </c>
      <c r="F19" s="32">
        <f t="shared" si="3"/>
        <v>183.46769298467578</v>
      </c>
      <c r="G19" s="5"/>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ht="12.75">
      <c r="A20" s="4"/>
      <c r="B20" s="8">
        <f t="shared" si="4"/>
        <v>17</v>
      </c>
      <c r="C20" s="32">
        <f t="shared" si="0"/>
        <v>89.49526376632303</v>
      </c>
      <c r="D20" s="32">
        <f t="shared" si="1"/>
        <v>125.79520392517432</v>
      </c>
      <c r="E20" s="32">
        <f t="shared" si="2"/>
        <v>157.85059724427748</v>
      </c>
      <c r="F20" s="32">
        <f t="shared" si="3"/>
        <v>187.70908960471812</v>
      </c>
      <c r="G20" s="5"/>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ht="12.75">
      <c r="A21" s="4"/>
      <c r="B21" s="8">
        <f t="shared" si="4"/>
        <v>18</v>
      </c>
      <c r="C21" s="32">
        <f t="shared" si="0"/>
        <v>92.38364658703794</v>
      </c>
      <c r="D21" s="32">
        <f t="shared" si="1"/>
        <v>129.2124717937357</v>
      </c>
      <c r="E21" s="32">
        <f t="shared" si="2"/>
        <v>161.67367056138485</v>
      </c>
      <c r="F21" s="32">
        <f t="shared" si="3"/>
        <v>191.87422775245903</v>
      </c>
      <c r="G21" s="5"/>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12.75">
      <c r="A22" s="4"/>
      <c r="B22" s="8">
        <f t="shared" si="4"/>
        <v>19</v>
      </c>
      <c r="C22" s="32">
        <f t="shared" si="0"/>
        <v>95.23702939577957</v>
      </c>
      <c r="D22" s="32">
        <f t="shared" si="1"/>
        <v>132.58023946777368</v>
      </c>
      <c r="E22" s="32">
        <f t="shared" si="2"/>
        <v>165.43612523557246</v>
      </c>
      <c r="F22" s="32">
        <f t="shared" si="3"/>
        <v>195.96937908057652</v>
      </c>
      <c r="G22" s="5"/>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ht="12.75">
      <c r="A23" s="4"/>
      <c r="B23" s="8">
        <f t="shared" si="4"/>
        <v>20</v>
      </c>
      <c r="C23" s="32">
        <f t="shared" si="0"/>
        <v>98.05814240876225</v>
      </c>
      <c r="D23" s="32">
        <f t="shared" si="1"/>
        <v>135.90236720017518</v>
      </c>
      <c r="E23" s="32">
        <f t="shared" si="2"/>
        <v>169.14268782843175</v>
      </c>
      <c r="F23" s="32">
        <f t="shared" si="3"/>
        <v>199.99999999999997</v>
      </c>
      <c r="G23" s="5"/>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ht="12.75">
      <c r="A24" s="4"/>
      <c r="B24" s="8">
        <f t="shared" si="4"/>
        <v>21</v>
      </c>
      <c r="C24" s="32">
        <f t="shared" si="0"/>
        <v>100.84937840411806</v>
      </c>
      <c r="D24" s="32">
        <f t="shared" si="1"/>
        <v>139.18223821839402</v>
      </c>
      <c r="E24" s="32">
        <f t="shared" si="2"/>
        <v>172.79750087649046</v>
      </c>
      <c r="F24" s="32">
        <f t="shared" si="3"/>
        <v>203.97087275607043</v>
      </c>
      <c r="G24" s="5"/>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ht="12.75">
      <c r="A26" s="4"/>
      <c r="B26" s="8" t="s">
        <v>10</v>
      </c>
      <c r="C26" s="8">
        <v>5</v>
      </c>
      <c r="D26" s="5"/>
      <c r="E26" s="34" t="s">
        <v>26</v>
      </c>
      <c r="F26" s="34">
        <v>10</v>
      </c>
      <c r="G26" s="5"/>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2" ht="12.75">
      <c r="A27" s="4"/>
      <c r="B27" s="8" t="s">
        <v>11</v>
      </c>
      <c r="C27" s="8">
        <v>10</v>
      </c>
      <c r="D27" s="5"/>
      <c r="E27" s="34" t="s">
        <v>27</v>
      </c>
      <c r="F27" s="34">
        <f>AG5/100</f>
        <v>0.4</v>
      </c>
      <c r="G27" s="5"/>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12.75">
      <c r="A28" s="4"/>
      <c r="B28" s="8" t="s">
        <v>12</v>
      </c>
      <c r="C28" s="8">
        <v>15</v>
      </c>
      <c r="D28" s="5"/>
      <c r="E28" s="34" t="s">
        <v>23</v>
      </c>
      <c r="F28" s="34">
        <f>AD4/100</f>
        <v>2.01</v>
      </c>
      <c r="G28" s="5"/>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ht="12.75">
      <c r="A29" s="4"/>
      <c r="B29" s="8" t="s">
        <v>16</v>
      </c>
      <c r="C29" s="8">
        <v>20</v>
      </c>
      <c r="D29" s="67" t="s">
        <v>52</v>
      </c>
      <c r="E29" s="68"/>
      <c r="F29" s="5"/>
      <c r="G29" s="5"/>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row>
    <row r="31" spans="1:62"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row>
    <row r="32" spans="1:62"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row>
    <row r="33" spans="1:62"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row>
    <row r="34" spans="1:62"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row>
    <row r="36" spans="1:62"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row>
    <row r="37" spans="1:62"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2"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2"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1:62"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row>
    <row r="44" spans="1:62"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row>
    <row r="46" spans="1:62"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row>
    <row r="48" spans="1:62"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1:62"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1:62"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1:62"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1:62"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1:62"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1:62"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1:62"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1:62"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1:62"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row>
    <row r="59" spans="1:62"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row>
    <row r="60" spans="1:62"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1:62"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row r="62" spans="1:62"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row>
    <row r="63" spans="1:62"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row>
    <row r="64" spans="1:62"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row>
    <row r="65" spans="1:62"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row>
    <row r="66" spans="1:62"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1:62"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row>
    <row r="69" spans="1:62" ht="12.7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1:62"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row>
    <row r="71" spans="1:62"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row>
    <row r="72" spans="1:62"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row>
    <row r="73" spans="1:62"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row>
    <row r="74" spans="1:62"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row>
    <row r="75" spans="1:62"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row>
    <row r="76" spans="1:62"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row>
    <row r="77" spans="1:62"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row>
    <row r="78" spans="1:62"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row>
    <row r="79" spans="1:62"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row>
    <row r="80" spans="1:62"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row>
    <row r="81" spans="1:62"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row>
    <row r="83" spans="1:62"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row>
    <row r="84" spans="1:62"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row>
    <row r="85" spans="1:62"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row>
    <row r="86" spans="1:62"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row>
    <row r="87" spans="1:62"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row>
    <row r="89" spans="1:62" ht="12.75">
      <c r="A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row>
  </sheetData>
  <mergeCells count="3">
    <mergeCell ref="D29:E29"/>
    <mergeCell ref="B2:F2"/>
    <mergeCell ref="I1:O1"/>
  </mergeCells>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R150"/>
  <sheetViews>
    <sheetView workbookViewId="0" topLeftCell="A1">
      <selection activeCell="A1" sqref="A1"/>
    </sheetView>
  </sheetViews>
  <sheetFormatPr defaultColWidth="9.140625" defaultRowHeight="12.75"/>
  <cols>
    <col min="1" max="1" width="3.28125" style="0" customWidth="1"/>
    <col min="15" max="15" width="2.8515625" style="0" customWidth="1"/>
    <col min="27" max="27" width="9.28125" style="0" bestFit="1" customWidth="1"/>
    <col min="28" max="28" width="12.421875" style="0" bestFit="1" customWidth="1"/>
    <col min="29" max="38" width="9.28125" style="0" bestFit="1" customWidth="1"/>
  </cols>
  <sheetData>
    <row r="1" spans="1:44" ht="12.75">
      <c r="A1" s="4"/>
      <c r="B1" s="73" t="s">
        <v>76</v>
      </c>
      <c r="C1" s="73"/>
      <c r="D1" s="73"/>
      <c r="E1" s="73"/>
      <c r="F1" s="50"/>
      <c r="G1" s="4"/>
      <c r="H1" s="4"/>
      <c r="I1" s="4"/>
      <c r="J1" s="4"/>
      <c r="K1" s="4"/>
      <c r="L1" s="4"/>
      <c r="M1" s="4"/>
      <c r="N1" s="4"/>
      <c r="O1" s="4"/>
      <c r="P1" s="4"/>
      <c r="Q1" s="4"/>
      <c r="R1" s="4"/>
      <c r="S1" s="4"/>
      <c r="T1" s="4"/>
      <c r="U1" s="4"/>
      <c r="V1" s="4"/>
      <c r="W1" s="4"/>
      <c r="X1" s="4"/>
      <c r="Y1" s="4"/>
      <c r="Z1" s="4"/>
      <c r="AA1" s="41"/>
      <c r="AB1" s="41">
        <v>0</v>
      </c>
      <c r="AC1" s="41">
        <f>AB1+($AL$1-$AB$1)/10</f>
        <v>1</v>
      </c>
      <c r="AD1" s="41">
        <f>AC1+($AL$1-$AB$1)/10</f>
        <v>2</v>
      </c>
      <c r="AE1" s="41">
        <f aca="true" t="shared" si="0" ref="AE1:AK1">AD1+($AL$1-$AB$1)/10</f>
        <v>3</v>
      </c>
      <c r="AF1" s="41">
        <f t="shared" si="0"/>
        <v>4</v>
      </c>
      <c r="AG1" s="41">
        <f t="shared" si="0"/>
        <v>5</v>
      </c>
      <c r="AH1" s="41">
        <f t="shared" si="0"/>
        <v>6</v>
      </c>
      <c r="AI1" s="41">
        <f t="shared" si="0"/>
        <v>7</v>
      </c>
      <c r="AJ1" s="41">
        <f t="shared" si="0"/>
        <v>8</v>
      </c>
      <c r="AK1" s="41">
        <f t="shared" si="0"/>
        <v>9</v>
      </c>
      <c r="AL1" s="41">
        <f>D11</f>
        <v>10</v>
      </c>
      <c r="AM1" s="4"/>
      <c r="AN1" s="4"/>
      <c r="AO1" s="4"/>
      <c r="AP1" s="4"/>
      <c r="AQ1" s="4"/>
      <c r="AR1" s="4"/>
    </row>
    <row r="2" spans="1:44" ht="12.75">
      <c r="A2" s="4"/>
      <c r="B2" s="4"/>
      <c r="C2" s="4"/>
      <c r="D2" s="4"/>
      <c r="E2" s="4"/>
      <c r="F2" s="4"/>
      <c r="G2" s="4"/>
      <c r="H2" s="4"/>
      <c r="I2" s="4"/>
      <c r="J2" s="4"/>
      <c r="K2" s="4"/>
      <c r="L2" s="4"/>
      <c r="M2" s="4"/>
      <c r="N2" s="4"/>
      <c r="O2" s="4"/>
      <c r="P2" s="4"/>
      <c r="Q2" s="4"/>
      <c r="R2" s="4"/>
      <c r="S2" s="4"/>
      <c r="T2" s="4"/>
      <c r="U2" s="4"/>
      <c r="V2" s="4"/>
      <c r="W2" s="4"/>
      <c r="X2" s="4"/>
      <c r="Y2" s="4"/>
      <c r="Z2" s="4"/>
      <c r="AA2" s="41">
        <v>0</v>
      </c>
      <c r="AB2" s="41">
        <f aca="true" t="shared" si="1" ref="AB2:AL11">$E$14*($E$15*$AA2^-$C$15+(1-$E$15)*AB$1^-$C$15)^-(1/$C$15)</f>
        <v>0</v>
      </c>
      <c r="AC2" s="41">
        <f t="shared" si="1"/>
        <v>3.618253767937933</v>
      </c>
      <c r="AD2" s="41">
        <f t="shared" si="1"/>
        <v>7.236507535875864</v>
      </c>
      <c r="AE2" s="41">
        <f t="shared" si="1"/>
        <v>10.854761303813799</v>
      </c>
      <c r="AF2" s="41">
        <f t="shared" si="1"/>
        <v>14.473015071751725</v>
      </c>
      <c r="AG2" s="41">
        <f t="shared" si="1"/>
        <v>18.09126883968966</v>
      </c>
      <c r="AH2" s="41">
        <f t="shared" si="1"/>
        <v>21.7095226076276</v>
      </c>
      <c r="AI2" s="41">
        <f t="shared" si="1"/>
        <v>25.327776375565527</v>
      </c>
      <c r="AJ2" s="41">
        <f t="shared" si="1"/>
        <v>28.946030143503457</v>
      </c>
      <c r="AK2" s="41">
        <f t="shared" si="1"/>
        <v>32.5642839114414</v>
      </c>
      <c r="AL2" s="41">
        <f t="shared" si="1"/>
        <v>36.18253767937933</v>
      </c>
      <c r="AM2" s="4"/>
      <c r="AN2" s="4"/>
      <c r="AO2" s="4"/>
      <c r="AP2" s="4"/>
      <c r="AQ2" s="4"/>
      <c r="AR2" s="4"/>
    </row>
    <row r="3" spans="1:44" ht="12.75">
      <c r="A3" s="4"/>
      <c r="B3" s="4"/>
      <c r="C3" s="4"/>
      <c r="D3" s="4"/>
      <c r="E3" s="4"/>
      <c r="F3" s="4"/>
      <c r="G3" s="4"/>
      <c r="H3" s="4"/>
      <c r="I3" s="4"/>
      <c r="J3" s="4"/>
      <c r="K3" s="4"/>
      <c r="L3" s="4"/>
      <c r="M3" s="4"/>
      <c r="N3" s="4"/>
      <c r="O3" s="4"/>
      <c r="P3" s="4"/>
      <c r="Q3" s="4"/>
      <c r="R3" s="4"/>
      <c r="S3" s="4"/>
      <c r="T3" s="4"/>
      <c r="U3" s="4"/>
      <c r="V3" s="4"/>
      <c r="W3" s="4"/>
      <c r="X3" s="4"/>
      <c r="Y3" s="4"/>
      <c r="Z3" s="4"/>
      <c r="AA3" s="41">
        <f>AA2+($AA$22-$AA$2)/20</f>
        <v>1</v>
      </c>
      <c r="AB3" s="42">
        <f t="shared" si="1"/>
        <v>1.6145815399494956</v>
      </c>
      <c r="AC3" s="42">
        <f t="shared" si="1"/>
        <v>10</v>
      </c>
      <c r="AD3" s="42">
        <f t="shared" si="1"/>
        <v>15.590330265532689</v>
      </c>
      <c r="AE3" s="42">
        <f t="shared" si="1"/>
        <v>20.72054753133647</v>
      </c>
      <c r="AF3" s="42">
        <f t="shared" si="1"/>
        <v>25.61269687446131</v>
      </c>
      <c r="AG3" s="42">
        <f t="shared" si="1"/>
        <v>30.35276133510127</v>
      </c>
      <c r="AH3" s="42">
        <f t="shared" si="1"/>
        <v>34.984827285708214</v>
      </c>
      <c r="AI3" s="42">
        <f t="shared" si="1"/>
        <v>39.53507828985677</v>
      </c>
      <c r="AJ3" s="42">
        <f t="shared" si="1"/>
        <v>44.02057102175296</v>
      </c>
      <c r="AK3" s="42">
        <f t="shared" si="1"/>
        <v>48.453150968036525</v>
      </c>
      <c r="AL3" s="42">
        <f t="shared" si="1"/>
        <v>52.84144134272104</v>
      </c>
      <c r="AM3" s="4"/>
      <c r="AN3" s="4"/>
      <c r="AO3" s="4"/>
      <c r="AP3" s="4"/>
      <c r="AQ3" s="4"/>
      <c r="AR3" s="4"/>
    </row>
    <row r="4" spans="1:44" ht="12.75">
      <c r="A4" s="4"/>
      <c r="B4" s="4"/>
      <c r="C4" s="4"/>
      <c r="D4" s="4"/>
      <c r="E4" s="4"/>
      <c r="F4" s="4"/>
      <c r="G4" s="4"/>
      <c r="H4" s="4"/>
      <c r="I4" s="4"/>
      <c r="J4" s="4"/>
      <c r="K4" s="4"/>
      <c r="L4" s="4"/>
      <c r="M4" s="4"/>
      <c r="N4" s="4"/>
      <c r="O4" s="4"/>
      <c r="P4" s="4"/>
      <c r="Q4" s="4"/>
      <c r="R4" s="4"/>
      <c r="S4" s="4"/>
      <c r="T4" s="4"/>
      <c r="U4" s="4"/>
      <c r="V4" s="4"/>
      <c r="W4" s="4"/>
      <c r="X4" s="4"/>
      <c r="Y4" s="4"/>
      <c r="Z4" s="4"/>
      <c r="AA4" s="41">
        <f aca="true" t="shared" si="2" ref="AA4:AA21">AA3+($AA$22-$AA$2)/20</f>
        <v>2</v>
      </c>
      <c r="AB4" s="42">
        <f t="shared" si="1"/>
        <v>3.2291630798989908</v>
      </c>
      <c r="AC4" s="42">
        <f t="shared" si="1"/>
        <v>13.590236720017517</v>
      </c>
      <c r="AD4" s="42">
        <f t="shared" si="1"/>
        <v>19.999999999999996</v>
      </c>
      <c r="AE4" s="42">
        <f t="shared" si="1"/>
        <v>25.75877514032002</v>
      </c>
      <c r="AF4" s="42">
        <f t="shared" si="1"/>
        <v>31.180660531065367</v>
      </c>
      <c r="AG4" s="42">
        <f t="shared" si="1"/>
        <v>36.38730671344873</v>
      </c>
      <c r="AH4" s="42">
        <f t="shared" si="1"/>
        <v>41.44109506267292</v>
      </c>
      <c r="AI4" s="42">
        <f t="shared" si="1"/>
        <v>46.37907791769875</v>
      </c>
      <c r="AJ4" s="42">
        <f t="shared" si="1"/>
        <v>51.22539374892263</v>
      </c>
      <c r="AK4" s="42">
        <f t="shared" si="1"/>
        <v>55.99680709592885</v>
      </c>
      <c r="AL4" s="42">
        <f t="shared" si="1"/>
        <v>60.705522670202555</v>
      </c>
      <c r="AM4" s="4"/>
      <c r="AN4" s="4"/>
      <c r="AO4" s="4"/>
      <c r="AP4" s="4"/>
      <c r="AQ4" s="4"/>
      <c r="AR4" s="4"/>
    </row>
    <row r="5" spans="1:44" ht="12.75">
      <c r="A5" s="4"/>
      <c r="B5" s="4"/>
      <c r="C5" s="4"/>
      <c r="D5" s="4"/>
      <c r="E5" s="4"/>
      <c r="F5" s="4"/>
      <c r="G5" s="4"/>
      <c r="H5" s="4"/>
      <c r="I5" s="4"/>
      <c r="J5" s="4"/>
      <c r="K5" s="4"/>
      <c r="L5" s="4"/>
      <c r="M5" s="4"/>
      <c r="N5" s="4"/>
      <c r="O5" s="4"/>
      <c r="P5" s="4"/>
      <c r="Q5" s="4"/>
      <c r="R5" s="4"/>
      <c r="S5" s="4"/>
      <c r="T5" s="4"/>
      <c r="U5" s="4"/>
      <c r="V5" s="4"/>
      <c r="W5" s="4"/>
      <c r="X5" s="4"/>
      <c r="Y5" s="4"/>
      <c r="Z5" s="4"/>
      <c r="AA5" s="41">
        <f t="shared" si="2"/>
        <v>3</v>
      </c>
      <c r="AB5" s="42">
        <f t="shared" si="1"/>
        <v>4.843744619848486</v>
      </c>
      <c r="AC5" s="42">
        <f t="shared" si="1"/>
        <v>16.720089204980393</v>
      </c>
      <c r="AD5" s="42">
        <f t="shared" si="1"/>
        <v>23.758742774368628</v>
      </c>
      <c r="AE5" s="42">
        <f t="shared" si="1"/>
        <v>30.000000000000004</v>
      </c>
      <c r="AF5" s="42">
        <f t="shared" si="1"/>
        <v>35.828553905812036</v>
      </c>
      <c r="AG5" s="42">
        <f t="shared" si="1"/>
        <v>41.393412371501164</v>
      </c>
      <c r="AH5" s="42">
        <f t="shared" si="1"/>
        <v>46.770990796598056</v>
      </c>
      <c r="AI5" s="42">
        <f t="shared" si="1"/>
        <v>52.00667964171849</v>
      </c>
      <c r="AJ5" s="42">
        <f t="shared" si="1"/>
        <v>57.130050656862224</v>
      </c>
      <c r="AK5" s="42">
        <f t="shared" si="1"/>
        <v>62.161642594009415</v>
      </c>
      <c r="AL5" s="42">
        <f t="shared" si="1"/>
        <v>67.11640826204608</v>
      </c>
      <c r="AM5" s="4"/>
      <c r="AN5" s="4"/>
      <c r="AO5" s="4"/>
      <c r="AP5" s="4"/>
      <c r="AQ5" s="4"/>
      <c r="AR5" s="4"/>
    </row>
    <row r="6" spans="1:44" ht="12.75">
      <c r="A6" s="4"/>
      <c r="B6" s="4"/>
      <c r="C6" s="4"/>
      <c r="D6" s="4"/>
      <c r="E6" s="4"/>
      <c r="F6" s="4"/>
      <c r="G6" s="4"/>
      <c r="H6" s="4"/>
      <c r="I6" s="4"/>
      <c r="J6" s="4"/>
      <c r="K6" s="4"/>
      <c r="L6" s="4"/>
      <c r="M6" s="4"/>
      <c r="N6" s="4"/>
      <c r="O6" s="4"/>
      <c r="P6" s="4"/>
      <c r="Q6" s="4"/>
      <c r="R6" s="4"/>
      <c r="S6" s="4"/>
      <c r="T6" s="4"/>
      <c r="U6" s="4"/>
      <c r="V6" s="4"/>
      <c r="W6" s="4"/>
      <c r="X6" s="4"/>
      <c r="Y6" s="4"/>
      <c r="Z6" s="4"/>
      <c r="AA6" s="41">
        <f t="shared" si="2"/>
        <v>4</v>
      </c>
      <c r="AB6" s="42">
        <f t="shared" si="1"/>
        <v>6.458326159797981</v>
      </c>
      <c r="AC6" s="42">
        <f t="shared" si="1"/>
        <v>19.611628481752447</v>
      </c>
      <c r="AD6" s="42">
        <f t="shared" si="1"/>
        <v>27.180473440035023</v>
      </c>
      <c r="AE6" s="42">
        <f t="shared" si="1"/>
        <v>33.828537565686354</v>
      </c>
      <c r="AF6" s="42">
        <f t="shared" si="1"/>
        <v>39.999999999999986</v>
      </c>
      <c r="AG6" s="42">
        <f t="shared" si="1"/>
        <v>45.866923246168966</v>
      </c>
      <c r="AH6" s="42">
        <f t="shared" si="1"/>
        <v>51.51755028064004</v>
      </c>
      <c r="AI6" s="42">
        <f t="shared" si="1"/>
        <v>57.00429913430594</v>
      </c>
      <c r="AJ6" s="42">
        <f t="shared" si="1"/>
        <v>62.361321062130735</v>
      </c>
      <c r="AK6" s="42">
        <f t="shared" si="1"/>
        <v>67.61233607874418</v>
      </c>
      <c r="AL6" s="42">
        <f t="shared" si="1"/>
        <v>72.77461342689749</v>
      </c>
      <c r="AM6" s="4"/>
      <c r="AN6" s="4"/>
      <c r="AO6" s="4"/>
      <c r="AP6" s="4"/>
      <c r="AQ6" s="4"/>
      <c r="AR6" s="4"/>
    </row>
    <row r="7" spans="1:44" ht="12.75">
      <c r="A7" s="4"/>
      <c r="B7" s="4"/>
      <c r="C7" s="4"/>
      <c r="D7" s="4"/>
      <c r="E7" s="4"/>
      <c r="F7" s="4"/>
      <c r="G7" s="4"/>
      <c r="H7" s="4"/>
      <c r="I7" s="4"/>
      <c r="J7" s="4"/>
      <c r="K7" s="4"/>
      <c r="L7" s="4"/>
      <c r="M7" s="4"/>
      <c r="N7" s="4"/>
      <c r="O7" s="4"/>
      <c r="P7" s="4"/>
      <c r="Q7" s="4"/>
      <c r="R7" s="4"/>
      <c r="S7" s="4"/>
      <c r="T7" s="4"/>
      <c r="U7" s="4"/>
      <c r="V7" s="4"/>
      <c r="W7" s="4"/>
      <c r="X7" s="4"/>
      <c r="Y7" s="4"/>
      <c r="Z7" s="4"/>
      <c r="AA7" s="41">
        <f t="shared" si="2"/>
        <v>5</v>
      </c>
      <c r="AB7" s="42">
        <f t="shared" si="1"/>
        <v>8.072907699747475</v>
      </c>
      <c r="AC7" s="42">
        <f t="shared" si="1"/>
        <v>22.350883769186993</v>
      </c>
      <c r="AD7" s="42">
        <f t="shared" si="1"/>
        <v>30.386822385356297</v>
      </c>
      <c r="AE7" s="42">
        <f t="shared" si="1"/>
        <v>37.393309975325224</v>
      </c>
      <c r="AF7" s="42">
        <f t="shared" si="1"/>
        <v>43.8669134037169</v>
      </c>
      <c r="AG7" s="42">
        <f t="shared" si="1"/>
        <v>49.99999999999999</v>
      </c>
      <c r="AH7" s="42">
        <f t="shared" si="1"/>
        <v>55.89123009498506</v>
      </c>
      <c r="AI7" s="42">
        <f t="shared" si="1"/>
        <v>61.599211616114566</v>
      </c>
      <c r="AJ7" s="42">
        <f t="shared" si="1"/>
        <v>67.16212958410999</v>
      </c>
      <c r="AK7" s="42">
        <f t="shared" si="1"/>
        <v>72.60650624329904</v>
      </c>
      <c r="AL7" s="42">
        <f t="shared" si="1"/>
        <v>77.95165132766344</v>
      </c>
      <c r="AM7" s="4"/>
      <c r="AN7" s="4"/>
      <c r="AO7" s="4"/>
      <c r="AP7" s="4"/>
      <c r="AQ7" s="4"/>
      <c r="AR7" s="4"/>
    </row>
    <row r="8" spans="1:44" ht="12.75">
      <c r="A8" s="4"/>
      <c r="B8" s="4"/>
      <c r="C8" s="4"/>
      <c r="D8" s="4"/>
      <c r="E8" s="4"/>
      <c r="F8" s="4"/>
      <c r="G8" s="4"/>
      <c r="H8" s="4"/>
      <c r="I8" s="4"/>
      <c r="J8" s="4"/>
      <c r="K8" s="4"/>
      <c r="L8" s="4"/>
      <c r="M8" s="4"/>
      <c r="N8" s="4"/>
      <c r="O8" s="4"/>
      <c r="P8" s="4"/>
      <c r="Q8" s="4"/>
      <c r="R8" s="4"/>
      <c r="S8" s="4"/>
      <c r="T8" s="4"/>
      <c r="U8" s="4"/>
      <c r="V8" s="4"/>
      <c r="W8" s="4"/>
      <c r="X8" s="4"/>
      <c r="Y8" s="4"/>
      <c r="Z8" s="4"/>
      <c r="AA8" s="41">
        <f t="shared" si="2"/>
        <v>6</v>
      </c>
      <c r="AB8" s="42">
        <f t="shared" si="1"/>
        <v>9.687489239696975</v>
      </c>
      <c r="AC8" s="42">
        <f t="shared" si="1"/>
        <v>24.981977309259552</v>
      </c>
      <c r="AD8" s="42">
        <f t="shared" si="1"/>
        <v>33.440178409960794</v>
      </c>
      <c r="AE8" s="42">
        <f t="shared" si="1"/>
        <v>40.770710160052545</v>
      </c>
      <c r="AF8" s="42">
        <f t="shared" si="1"/>
        <v>47.517485548737255</v>
      </c>
      <c r="AG8" s="42">
        <f t="shared" si="1"/>
        <v>53.89122352046164</v>
      </c>
      <c r="AH8" s="42">
        <f t="shared" si="1"/>
        <v>60</v>
      </c>
      <c r="AI8" s="42">
        <f t="shared" si="1"/>
        <v>65.90801773586175</v>
      </c>
      <c r="AJ8" s="42">
        <f t="shared" si="1"/>
        <v>71.65710781162406</v>
      </c>
      <c r="AK8" s="42">
        <f t="shared" si="1"/>
        <v>77.27632542096005</v>
      </c>
      <c r="AL8" s="42">
        <f t="shared" si="1"/>
        <v>82.78682474300233</v>
      </c>
      <c r="AM8" s="4"/>
      <c r="AN8" s="4"/>
      <c r="AO8" s="4"/>
      <c r="AP8" s="4"/>
      <c r="AQ8" s="4"/>
      <c r="AR8" s="4"/>
    </row>
    <row r="9" spans="1:44" ht="12.75">
      <c r="A9" s="4"/>
      <c r="B9" s="4"/>
      <c r="C9" s="4"/>
      <c r="D9" s="4"/>
      <c r="E9" s="4"/>
      <c r="F9" s="4"/>
      <c r="G9" s="4"/>
      <c r="H9" s="4"/>
      <c r="I9" s="4"/>
      <c r="J9" s="4"/>
      <c r="K9" s="4"/>
      <c r="L9" s="4"/>
      <c r="M9" s="4"/>
      <c r="N9" s="4"/>
      <c r="O9" s="4"/>
      <c r="P9" s="4"/>
      <c r="Q9" s="4"/>
      <c r="R9" s="4"/>
      <c r="S9" s="4"/>
      <c r="T9" s="4"/>
      <c r="U9" s="4"/>
      <c r="V9" s="4"/>
      <c r="W9" s="4"/>
      <c r="X9" s="4"/>
      <c r="Y9" s="4"/>
      <c r="Z9" s="4"/>
      <c r="AA9" s="41">
        <f t="shared" si="2"/>
        <v>7</v>
      </c>
      <c r="AB9" s="42">
        <f t="shared" si="1"/>
        <v>11.30207077964647</v>
      </c>
      <c r="AC9" s="42">
        <f t="shared" si="1"/>
        <v>27.53111938012831</v>
      </c>
      <c r="AD9" s="42">
        <f t="shared" si="1"/>
        <v>36.37760632254325</v>
      </c>
      <c r="AE9" s="42">
        <f t="shared" si="1"/>
        <v>44.0061251244</v>
      </c>
      <c r="AF9" s="42">
        <f t="shared" si="1"/>
        <v>51.004115135865355</v>
      </c>
      <c r="AG9" s="42">
        <f t="shared" si="1"/>
        <v>57.599166958830175</v>
      </c>
      <c r="AH9" s="42">
        <f t="shared" si="1"/>
        <v>63.90801303449205</v>
      </c>
      <c r="AI9" s="42">
        <f t="shared" si="1"/>
        <v>69.99999999999999</v>
      </c>
      <c r="AJ9" s="42">
        <f t="shared" si="1"/>
        <v>75.92031120144831</v>
      </c>
      <c r="AK9" s="42">
        <f t="shared" si="1"/>
        <v>81.7003307164316</v>
      </c>
      <c r="AL9" s="42">
        <f t="shared" si="1"/>
        <v>87.36290859868586</v>
      </c>
      <c r="AM9" s="4"/>
      <c r="AN9" s="4"/>
      <c r="AO9" s="4"/>
      <c r="AP9" s="4"/>
      <c r="AQ9" s="4"/>
      <c r="AR9" s="4"/>
    </row>
    <row r="10" spans="1:44" ht="12.75">
      <c r="A10" s="4"/>
      <c r="B10" s="74" t="s">
        <v>72</v>
      </c>
      <c r="C10" s="74"/>
      <c r="D10" s="74"/>
      <c r="E10" s="5"/>
      <c r="F10" s="4"/>
      <c r="G10" s="4"/>
      <c r="H10" s="4"/>
      <c r="I10" s="4"/>
      <c r="J10" s="4"/>
      <c r="K10" s="4"/>
      <c r="L10" s="4"/>
      <c r="M10" s="4"/>
      <c r="N10" s="4"/>
      <c r="O10" s="4"/>
      <c r="P10" s="4"/>
      <c r="Q10" s="4"/>
      <c r="R10" s="4"/>
      <c r="S10" s="4"/>
      <c r="T10" s="4"/>
      <c r="U10" s="4"/>
      <c r="V10" s="4"/>
      <c r="W10" s="4"/>
      <c r="X10" s="4"/>
      <c r="Y10" s="4"/>
      <c r="Z10" s="4"/>
      <c r="AA10" s="41">
        <f t="shared" si="2"/>
        <v>8</v>
      </c>
      <c r="AB10" s="42">
        <f t="shared" si="1"/>
        <v>12.916652319595965</v>
      </c>
      <c r="AC10" s="42">
        <f t="shared" si="1"/>
        <v>30.015386861097234</v>
      </c>
      <c r="AD10" s="42">
        <f t="shared" si="1"/>
        <v>39.2232569635049</v>
      </c>
      <c r="AE10" s="42">
        <f t="shared" si="1"/>
        <v>47.12912963166005</v>
      </c>
      <c r="AF10" s="42">
        <f t="shared" si="1"/>
        <v>54.360946880070045</v>
      </c>
      <c r="AG10" s="42">
        <f t="shared" si="1"/>
        <v>61.16199937464174</v>
      </c>
      <c r="AH10" s="42">
        <f t="shared" si="1"/>
        <v>67.65707513137272</v>
      </c>
      <c r="AI10" s="42">
        <f t="shared" si="1"/>
        <v>73.92030767293951</v>
      </c>
      <c r="AJ10" s="42">
        <f t="shared" si="1"/>
        <v>79.99999999999999</v>
      </c>
      <c r="AK10" s="42">
        <f t="shared" si="1"/>
        <v>85.92970350748703</v>
      </c>
      <c r="AL10" s="42">
        <f t="shared" si="1"/>
        <v>91.73384649233793</v>
      </c>
      <c r="AM10" s="4"/>
      <c r="AN10" s="4"/>
      <c r="AO10" s="4"/>
      <c r="AP10" s="4"/>
      <c r="AQ10" s="4"/>
      <c r="AR10" s="4"/>
    </row>
    <row r="11" spans="1:44" ht="12.75">
      <c r="A11" s="4"/>
      <c r="B11" s="63" t="s">
        <v>73</v>
      </c>
      <c r="C11" s="64"/>
      <c r="D11" s="34">
        <v>10</v>
      </c>
      <c r="E11" s="5"/>
      <c r="F11" s="4"/>
      <c r="G11" s="4"/>
      <c r="H11" s="4"/>
      <c r="I11" s="4"/>
      <c r="J11" s="4"/>
      <c r="K11" s="4"/>
      <c r="L11" s="4"/>
      <c r="M11" s="4"/>
      <c r="N11" s="4"/>
      <c r="O11" s="4"/>
      <c r="P11" s="4"/>
      <c r="Q11" s="4"/>
      <c r="R11" s="4"/>
      <c r="S11" s="4"/>
      <c r="T11" s="4"/>
      <c r="U11" s="4"/>
      <c r="V11" s="4"/>
      <c r="W11" s="4"/>
      <c r="X11" s="4"/>
      <c r="Y11" s="4"/>
      <c r="Z11" s="4"/>
      <c r="AA11" s="41">
        <f t="shared" si="2"/>
        <v>9</v>
      </c>
      <c r="AB11" s="42">
        <f t="shared" si="1"/>
        <v>14.53123385954546</v>
      </c>
      <c r="AC11" s="42">
        <f t="shared" si="1"/>
        <v>32.44664087839289</v>
      </c>
      <c r="AD11" s="42">
        <f t="shared" si="1"/>
        <v>41.993905933328925</v>
      </c>
      <c r="AE11" s="42">
        <f t="shared" si="1"/>
        <v>50.16026761494118</v>
      </c>
      <c r="AF11" s="42">
        <f t="shared" si="1"/>
        <v>57.61169982636627</v>
      </c>
      <c r="AG11" s="42">
        <f t="shared" si="1"/>
        <v>64.60623589686786</v>
      </c>
      <c r="AH11" s="42">
        <f t="shared" si="1"/>
        <v>71.2762283231059</v>
      </c>
      <c r="AI11" s="42">
        <f t="shared" si="1"/>
        <v>77.70030575929545</v>
      </c>
      <c r="AJ11" s="42">
        <f t="shared" si="1"/>
        <v>83.92970076180264</v>
      </c>
      <c r="AK11" s="42">
        <f t="shared" si="1"/>
        <v>90.00000000000001</v>
      </c>
      <c r="AL11" s="42">
        <f t="shared" si="1"/>
        <v>95.93711387622959</v>
      </c>
      <c r="AM11" s="4"/>
      <c r="AN11" s="4"/>
      <c r="AO11" s="4"/>
      <c r="AP11" s="4"/>
      <c r="AQ11" s="4"/>
      <c r="AR11" s="4"/>
    </row>
    <row r="12" spans="1:44" ht="12.75">
      <c r="A12" s="4"/>
      <c r="B12" s="63" t="s">
        <v>74</v>
      </c>
      <c r="C12" s="64"/>
      <c r="D12" s="34">
        <v>20</v>
      </c>
      <c r="E12" s="5"/>
      <c r="F12" s="4"/>
      <c r="G12" s="4"/>
      <c r="H12" s="4"/>
      <c r="I12" s="4"/>
      <c r="J12" s="4"/>
      <c r="K12" s="4"/>
      <c r="L12" s="4"/>
      <c r="M12" s="4"/>
      <c r="N12" s="4"/>
      <c r="O12" s="4"/>
      <c r="P12" s="4"/>
      <c r="Q12" s="4"/>
      <c r="R12" s="4"/>
      <c r="S12" s="4"/>
      <c r="T12" s="4"/>
      <c r="U12" s="4"/>
      <c r="V12" s="4"/>
      <c r="W12" s="4"/>
      <c r="X12" s="4"/>
      <c r="Y12" s="4"/>
      <c r="Z12" s="4"/>
      <c r="AA12" s="41">
        <f t="shared" si="2"/>
        <v>10</v>
      </c>
      <c r="AB12" s="42">
        <f aca="true" t="shared" si="3" ref="AB12:AL22">$E$14*($E$15*$AA12^-$C$15+(1-$E$15)*AB$1^-$C$15)^-(1/$C$15)</f>
        <v>16.14581539949496</v>
      </c>
      <c r="AC12" s="42">
        <f t="shared" si="3"/>
        <v>34.833517023705994</v>
      </c>
      <c r="AD12" s="42">
        <f t="shared" si="3"/>
        <v>44.70176753837399</v>
      </c>
      <c r="AE12" s="42">
        <f t="shared" si="3"/>
        <v>53.11449759780017</v>
      </c>
      <c r="AF12" s="42">
        <f t="shared" si="3"/>
        <v>60.77364477071259</v>
      </c>
      <c r="AG12" s="42">
        <f t="shared" si="3"/>
        <v>67.95118360008757</v>
      </c>
      <c r="AH12" s="42">
        <f t="shared" si="3"/>
        <v>74.78661995065046</v>
      </c>
      <c r="AI12" s="42">
        <f t="shared" si="3"/>
        <v>81.36283336433904</v>
      </c>
      <c r="AJ12" s="42">
        <f t="shared" si="3"/>
        <v>87.73382680743384</v>
      </c>
      <c r="AK12" s="42">
        <f t="shared" si="3"/>
        <v>93.9371116789597</v>
      </c>
      <c r="AL12" s="42">
        <f t="shared" si="3"/>
        <v>100.00000000000001</v>
      </c>
      <c r="AM12" s="4"/>
      <c r="AN12" s="4"/>
      <c r="AO12" s="4"/>
      <c r="AP12" s="4"/>
      <c r="AQ12" s="4"/>
      <c r="AR12" s="4"/>
    </row>
    <row r="13" spans="1:44" ht="12.75">
      <c r="A13" s="4"/>
      <c r="B13" s="67" t="s">
        <v>53</v>
      </c>
      <c r="C13" s="69"/>
      <c r="D13" s="69"/>
      <c r="E13" s="68"/>
      <c r="F13" s="4"/>
      <c r="G13" s="4"/>
      <c r="H13" s="4"/>
      <c r="I13" s="4"/>
      <c r="J13" s="4"/>
      <c r="K13" s="4"/>
      <c r="L13" s="4"/>
      <c r="M13" s="4"/>
      <c r="N13" s="4"/>
      <c r="O13" s="4"/>
      <c r="P13" s="4"/>
      <c r="Q13" s="4"/>
      <c r="R13" s="4"/>
      <c r="S13" s="4"/>
      <c r="T13" s="4"/>
      <c r="U13" s="4"/>
      <c r="V13" s="4"/>
      <c r="W13" s="4"/>
      <c r="X13" s="4"/>
      <c r="Y13" s="4"/>
      <c r="Z13" s="4"/>
      <c r="AA13" s="41">
        <f t="shared" si="2"/>
        <v>11</v>
      </c>
      <c r="AB13" s="42">
        <f t="shared" si="3"/>
        <v>17.760396939444455</v>
      </c>
      <c r="AC13" s="42">
        <f t="shared" si="3"/>
        <v>37.18253413363775</v>
      </c>
      <c r="AD13" s="42">
        <f t="shared" si="3"/>
        <v>47.35606257432396</v>
      </c>
      <c r="AE13" s="42">
        <f t="shared" si="3"/>
        <v>56.00311236620577</v>
      </c>
      <c r="AF13" s="42">
        <f t="shared" si="3"/>
        <v>63.85982039401658</v>
      </c>
      <c r="AG13" s="42">
        <f t="shared" si="3"/>
        <v>71.21141869256887</v>
      </c>
      <c r="AH13" s="42">
        <f t="shared" si="3"/>
        <v>78.20421576229577</v>
      </c>
      <c r="AI13" s="42">
        <f t="shared" si="3"/>
        <v>84.92513365666971</v>
      </c>
      <c r="AJ13" s="42">
        <f t="shared" si="3"/>
        <v>91.43080997446253</v>
      </c>
      <c r="AK13" s="42">
        <f t="shared" si="3"/>
        <v>97.76058653008322</v>
      </c>
      <c r="AL13" s="42">
        <f t="shared" si="3"/>
        <v>103.94310829306214</v>
      </c>
      <c r="AM13" s="4"/>
      <c r="AN13" s="4"/>
      <c r="AO13" s="4"/>
      <c r="AP13" s="4"/>
      <c r="AQ13" s="4"/>
      <c r="AR13" s="4"/>
    </row>
    <row r="14" spans="1:44" ht="12.75">
      <c r="A14" s="4"/>
      <c r="B14" s="8" t="s">
        <v>23</v>
      </c>
      <c r="C14" s="8">
        <f>TotalUtilityCurves!F28</f>
        <v>2.01</v>
      </c>
      <c r="D14" s="8" t="s">
        <v>26</v>
      </c>
      <c r="E14" s="8">
        <f>TotalUtilityCurves!F26</f>
        <v>10</v>
      </c>
      <c r="F14" s="4"/>
      <c r="G14" s="4"/>
      <c r="H14" s="4"/>
      <c r="I14" s="4"/>
      <c r="J14" s="4"/>
      <c r="K14" s="4"/>
      <c r="L14" s="4"/>
      <c r="M14" s="4"/>
      <c r="N14" s="4"/>
      <c r="O14" s="4"/>
      <c r="P14" s="4"/>
      <c r="Q14" s="4"/>
      <c r="R14" s="4"/>
      <c r="S14" s="4"/>
      <c r="T14" s="4"/>
      <c r="U14" s="4"/>
      <c r="V14" s="4"/>
      <c r="W14" s="4"/>
      <c r="X14" s="4"/>
      <c r="Y14" s="4"/>
      <c r="Z14" s="4"/>
      <c r="AA14" s="41">
        <f t="shared" si="2"/>
        <v>12</v>
      </c>
      <c r="AB14" s="42">
        <f t="shared" si="3"/>
        <v>19.37497847939395</v>
      </c>
      <c r="AC14" s="42">
        <f t="shared" si="3"/>
        <v>39.49875642646901</v>
      </c>
      <c r="AD14" s="42">
        <f t="shared" si="3"/>
        <v>49.96395461851908</v>
      </c>
      <c r="AE14" s="42">
        <f t="shared" si="3"/>
        <v>58.83488544525734</v>
      </c>
      <c r="AF14" s="42">
        <f t="shared" si="3"/>
        <v>66.88035681992157</v>
      </c>
      <c r="AG14" s="42">
        <f t="shared" si="3"/>
        <v>74.39826600716187</v>
      </c>
      <c r="AH14" s="42">
        <f t="shared" si="3"/>
        <v>81.54142032010512</v>
      </c>
      <c r="AI14" s="42">
        <f t="shared" si="3"/>
        <v>88.40060381372624</v>
      </c>
      <c r="AJ14" s="42">
        <f t="shared" si="3"/>
        <v>95.03497109747451</v>
      </c>
      <c r="AK14" s="42">
        <f t="shared" si="3"/>
        <v>101.48561269705907</v>
      </c>
      <c r="AL14" s="42">
        <f t="shared" si="3"/>
        <v>107.78244704092327</v>
      </c>
      <c r="AM14" s="4"/>
      <c r="AN14" s="4"/>
      <c r="AO14" s="4"/>
      <c r="AP14" s="4"/>
      <c r="AQ14" s="4"/>
      <c r="AR14" s="4"/>
    </row>
    <row r="15" spans="1:44" ht="12.75">
      <c r="A15" s="4"/>
      <c r="B15" s="8" t="s">
        <v>24</v>
      </c>
      <c r="C15" s="8">
        <f>(1-C14)/C14</f>
        <v>-0.5024875621890547</v>
      </c>
      <c r="D15" s="8" t="s">
        <v>27</v>
      </c>
      <c r="E15" s="8">
        <f>TotalUtilityCurves!F27</f>
        <v>0.4</v>
      </c>
      <c r="F15" s="4"/>
      <c r="G15" s="4"/>
      <c r="H15" s="4"/>
      <c r="I15" s="4"/>
      <c r="J15" s="4"/>
      <c r="K15" s="4"/>
      <c r="L15" s="4"/>
      <c r="M15" s="4"/>
      <c r="N15" s="4"/>
      <c r="O15" s="4"/>
      <c r="P15" s="4"/>
      <c r="Q15" s="4"/>
      <c r="R15" s="4"/>
      <c r="S15" s="4"/>
      <c r="T15" s="4"/>
      <c r="U15" s="4"/>
      <c r="V15" s="4"/>
      <c r="W15" s="4"/>
      <c r="X15" s="4"/>
      <c r="Y15" s="4"/>
      <c r="Z15" s="4"/>
      <c r="AA15" s="41">
        <f t="shared" si="2"/>
        <v>13</v>
      </c>
      <c r="AB15" s="42">
        <f t="shared" si="3"/>
        <v>20.98956001934345</v>
      </c>
      <c r="AC15" s="42">
        <f t="shared" si="3"/>
        <v>41.786210993078015</v>
      </c>
      <c r="AD15" s="42">
        <f t="shared" si="3"/>
        <v>52.53114040937703</v>
      </c>
      <c r="AE15" s="42">
        <f t="shared" si="3"/>
        <v>61.61679402967963</v>
      </c>
      <c r="AF15" s="42">
        <f t="shared" si="3"/>
        <v>69.84331022189598</v>
      </c>
      <c r="AG15" s="42">
        <f t="shared" si="3"/>
        <v>77.5207319490039</v>
      </c>
      <c r="AH15" s="42">
        <f t="shared" si="3"/>
        <v>84.80809881792985</v>
      </c>
      <c r="AI15" s="42">
        <f t="shared" si="3"/>
        <v>91.79989853581847</v>
      </c>
      <c r="AJ15" s="42">
        <f t="shared" si="3"/>
        <v>98.55769953956313</v>
      </c>
      <c r="AK15" s="42">
        <f t="shared" si="3"/>
        <v>105.12426939070934</v>
      </c>
      <c r="AL15" s="42">
        <f t="shared" si="3"/>
        <v>111.53074778843761</v>
      </c>
      <c r="AM15" s="4"/>
      <c r="AN15" s="4"/>
      <c r="AO15" s="4"/>
      <c r="AP15" s="4"/>
      <c r="AQ15" s="4"/>
      <c r="AR15" s="4"/>
    </row>
    <row r="16" spans="1:44" ht="12.75">
      <c r="A16" s="4"/>
      <c r="B16" s="5"/>
      <c r="C16" s="5"/>
      <c r="D16" s="5"/>
      <c r="E16" s="5"/>
      <c r="F16" s="4"/>
      <c r="G16" s="4"/>
      <c r="H16" s="4"/>
      <c r="I16" s="4"/>
      <c r="J16" s="4"/>
      <c r="K16" s="4"/>
      <c r="L16" s="4"/>
      <c r="M16" s="4"/>
      <c r="N16" s="4"/>
      <c r="O16" s="4"/>
      <c r="P16" s="4"/>
      <c r="Q16" s="4"/>
      <c r="R16" s="4"/>
      <c r="S16" s="4"/>
      <c r="T16" s="4"/>
      <c r="U16" s="4"/>
      <c r="V16" s="4"/>
      <c r="W16" s="4"/>
      <c r="X16" s="4"/>
      <c r="Y16" s="4"/>
      <c r="Z16" s="4"/>
      <c r="AA16" s="41">
        <f t="shared" si="2"/>
        <v>14</v>
      </c>
      <c r="AB16" s="42">
        <f t="shared" si="3"/>
        <v>22.604141559292934</v>
      </c>
      <c r="AC16" s="42">
        <f t="shared" si="3"/>
        <v>44.04816280840515</v>
      </c>
      <c r="AD16" s="42">
        <f t="shared" si="3"/>
        <v>55.06223876025661</v>
      </c>
      <c r="AE16" s="42">
        <f t="shared" si="3"/>
        <v>64.3544952275678</v>
      </c>
      <c r="AF16" s="42">
        <f t="shared" si="3"/>
        <v>72.75521264508647</v>
      </c>
      <c r="AG16" s="42">
        <f t="shared" si="3"/>
        <v>80.58611910972317</v>
      </c>
      <c r="AH16" s="42">
        <f t="shared" si="3"/>
        <v>88.0122502488</v>
      </c>
      <c r="AI16" s="42">
        <f t="shared" si="3"/>
        <v>95.1316570401226</v>
      </c>
      <c r="AJ16" s="42">
        <f t="shared" si="3"/>
        <v>102.0082302717307</v>
      </c>
      <c r="AK16" s="42">
        <f t="shared" si="3"/>
        <v>108.68635099694588</v>
      </c>
      <c r="AL16" s="42">
        <f t="shared" si="3"/>
        <v>115.19833391766034</v>
      </c>
      <c r="AM16" s="4"/>
      <c r="AN16" s="4"/>
      <c r="AO16" s="4"/>
      <c r="AP16" s="4"/>
      <c r="AQ16" s="4"/>
      <c r="AR16" s="4"/>
    </row>
    <row r="17" spans="1:44" ht="12.75">
      <c r="A17" s="4"/>
      <c r="B17" s="5"/>
      <c r="C17" s="5"/>
      <c r="D17" s="5"/>
      <c r="E17" s="5"/>
      <c r="F17" s="4"/>
      <c r="G17" s="4"/>
      <c r="H17" s="4"/>
      <c r="I17" s="4"/>
      <c r="J17" s="4"/>
      <c r="K17" s="4"/>
      <c r="L17" s="4"/>
      <c r="M17" s="4"/>
      <c r="N17" s="4"/>
      <c r="O17" s="4"/>
      <c r="P17" s="4"/>
      <c r="Q17" s="4"/>
      <c r="R17" s="4"/>
      <c r="S17" s="4"/>
      <c r="T17" s="4"/>
      <c r="U17" s="4"/>
      <c r="V17" s="4"/>
      <c r="W17" s="4"/>
      <c r="X17" s="4"/>
      <c r="Y17" s="4"/>
      <c r="Z17" s="4"/>
      <c r="AA17" s="41">
        <f t="shared" si="2"/>
        <v>15</v>
      </c>
      <c r="AB17" s="42">
        <f t="shared" si="3"/>
        <v>24.218723099242432</v>
      </c>
      <c r="AC17" s="42">
        <f t="shared" si="3"/>
        <v>46.28730253706585</v>
      </c>
      <c r="AD17" s="42">
        <f t="shared" si="3"/>
        <v>57.561056159419984</v>
      </c>
      <c r="AE17" s="42">
        <f t="shared" si="3"/>
        <v>67.05265130756098</v>
      </c>
      <c r="AF17" s="42">
        <f t="shared" si="3"/>
        <v>75.62144750885162</v>
      </c>
      <c r="AG17" s="42">
        <f t="shared" si="3"/>
        <v>83.60044602490198</v>
      </c>
      <c r="AH17" s="42">
        <f t="shared" si="3"/>
        <v>91.16046715606893</v>
      </c>
      <c r="AI17" s="42">
        <f t="shared" si="3"/>
        <v>98.40299957728668</v>
      </c>
      <c r="AJ17" s="42">
        <f t="shared" si="3"/>
        <v>105.39417459971705</v>
      </c>
      <c r="AK17" s="42">
        <f t="shared" si="3"/>
        <v>112.17992992597567</v>
      </c>
      <c r="AL17" s="42">
        <f t="shared" si="3"/>
        <v>118.7937138718432</v>
      </c>
      <c r="AM17" s="4"/>
      <c r="AN17" s="4"/>
      <c r="AO17" s="4"/>
      <c r="AP17" s="4"/>
      <c r="AQ17" s="4"/>
      <c r="AR17" s="4"/>
    </row>
    <row r="18" spans="1:44" ht="12.75">
      <c r="A18" s="4"/>
      <c r="B18" s="4"/>
      <c r="C18" s="4"/>
      <c r="D18" s="4"/>
      <c r="E18" s="4"/>
      <c r="F18" s="4"/>
      <c r="G18" s="4"/>
      <c r="H18" s="4"/>
      <c r="I18" s="4"/>
      <c r="J18" s="4"/>
      <c r="K18" s="4"/>
      <c r="L18" s="4"/>
      <c r="M18" s="4"/>
      <c r="N18" s="4"/>
      <c r="O18" s="4"/>
      <c r="P18" s="4"/>
      <c r="Q18" s="4"/>
      <c r="R18" s="4"/>
      <c r="S18" s="4"/>
      <c r="T18" s="4"/>
      <c r="U18" s="4"/>
      <c r="V18" s="4"/>
      <c r="W18" s="4"/>
      <c r="X18" s="4"/>
      <c r="Y18" s="4"/>
      <c r="Z18" s="4"/>
      <c r="AA18" s="41">
        <f t="shared" si="2"/>
        <v>16</v>
      </c>
      <c r="AB18" s="42">
        <f t="shared" si="3"/>
        <v>25.833304639191915</v>
      </c>
      <c r="AC18" s="42">
        <f t="shared" si="3"/>
        <v>48.50587872244</v>
      </c>
      <c r="AD18" s="42">
        <f t="shared" si="3"/>
        <v>60.030773722194446</v>
      </c>
      <c r="AE18" s="42">
        <f t="shared" si="3"/>
        <v>69.71515864056356</v>
      </c>
      <c r="AF18" s="42">
        <f t="shared" si="3"/>
        <v>78.44651392700976</v>
      </c>
      <c r="AG18" s="42">
        <f t="shared" si="3"/>
        <v>86.56874264898347</v>
      </c>
      <c r="AH18" s="42">
        <f t="shared" si="3"/>
        <v>94.25825926332008</v>
      </c>
      <c r="AI18" s="42">
        <f t="shared" si="3"/>
        <v>101.6198769438393</v>
      </c>
      <c r="AJ18" s="42">
        <f t="shared" si="3"/>
        <v>108.72189376014009</v>
      </c>
      <c r="AK18" s="42">
        <f t="shared" si="3"/>
        <v>115.61175282241491</v>
      </c>
      <c r="AL18" s="42">
        <f t="shared" si="3"/>
        <v>122.3239987492835</v>
      </c>
      <c r="AM18" s="4"/>
      <c r="AN18" s="4"/>
      <c r="AO18" s="4"/>
      <c r="AP18" s="4"/>
      <c r="AQ18" s="4"/>
      <c r="AR18" s="4"/>
    </row>
    <row r="19" spans="1:44" ht="12.75">
      <c r="A19" s="4"/>
      <c r="B19" s="4"/>
      <c r="C19" s="4"/>
      <c r="D19" s="4"/>
      <c r="E19" s="4"/>
      <c r="F19" s="4"/>
      <c r="G19" s="4"/>
      <c r="H19" s="4"/>
      <c r="I19" s="4"/>
      <c r="J19" s="4"/>
      <c r="K19" s="4"/>
      <c r="L19" s="4"/>
      <c r="M19" s="4"/>
      <c r="N19" s="4"/>
      <c r="O19" s="4"/>
      <c r="P19" s="4"/>
      <c r="Q19" s="4"/>
      <c r="R19" s="4"/>
      <c r="S19" s="4"/>
      <c r="T19" s="4"/>
      <c r="U19" s="4"/>
      <c r="V19" s="4"/>
      <c r="W19" s="4"/>
      <c r="X19" s="4"/>
      <c r="Y19" s="4"/>
      <c r="Z19" s="4"/>
      <c r="AA19" s="41">
        <f t="shared" si="2"/>
        <v>17</v>
      </c>
      <c r="AB19" s="42">
        <f t="shared" si="3"/>
        <v>27.447886179141427</v>
      </c>
      <c r="AC19" s="42">
        <f t="shared" si="3"/>
        <v>50.70579325499577</v>
      </c>
      <c r="AD19" s="42">
        <f t="shared" si="3"/>
        <v>62.47408221418653</v>
      </c>
      <c r="AE19" s="42">
        <f t="shared" si="3"/>
        <v>72.3453130524073</v>
      </c>
      <c r="AF19" s="42">
        <f t="shared" si="3"/>
        <v>81.23421761508708</v>
      </c>
      <c r="AG19" s="42">
        <f t="shared" si="3"/>
        <v>89.49526376632303</v>
      </c>
      <c r="AH19" s="42">
        <f t="shared" si="3"/>
        <v>97.31028722261897</v>
      </c>
      <c r="AI19" s="42">
        <f t="shared" si="3"/>
        <v>104.7873229262354</v>
      </c>
      <c r="AJ19" s="42">
        <f t="shared" si="3"/>
        <v>111.99676876108832</v>
      </c>
      <c r="AK19" s="42">
        <f t="shared" si="3"/>
        <v>118.98752674081557</v>
      </c>
      <c r="AL19" s="42">
        <f t="shared" si="3"/>
        <v>125.79520392517432</v>
      </c>
      <c r="AM19" s="4"/>
      <c r="AN19" s="4"/>
      <c r="AO19" s="4"/>
      <c r="AP19" s="4"/>
      <c r="AQ19" s="4"/>
      <c r="AR19" s="4"/>
    </row>
    <row r="20" spans="1:44" ht="12.75">
      <c r="A20" s="4"/>
      <c r="B20" s="4"/>
      <c r="C20" s="4"/>
      <c r="D20" s="4"/>
      <c r="E20" s="4"/>
      <c r="F20" s="4"/>
      <c r="G20" s="4"/>
      <c r="H20" s="4"/>
      <c r="I20" s="4"/>
      <c r="J20" s="4"/>
      <c r="K20" s="4"/>
      <c r="L20" s="4"/>
      <c r="M20" s="4"/>
      <c r="N20" s="4"/>
      <c r="O20" s="4"/>
      <c r="P20" s="4"/>
      <c r="Q20" s="4"/>
      <c r="R20" s="4"/>
      <c r="S20" s="4"/>
      <c r="T20" s="4"/>
      <c r="U20" s="4"/>
      <c r="V20" s="4"/>
      <c r="W20" s="4"/>
      <c r="X20" s="4"/>
      <c r="Y20" s="4"/>
      <c r="Z20" s="4"/>
      <c r="AA20" s="41">
        <f t="shared" si="2"/>
        <v>18</v>
      </c>
      <c r="AB20" s="42">
        <f t="shared" si="3"/>
        <v>29.062467719090908</v>
      </c>
      <c r="AC20" s="42">
        <f t="shared" si="3"/>
        <v>52.88867186703414</v>
      </c>
      <c r="AD20" s="42">
        <f t="shared" si="3"/>
        <v>64.89328175678578</v>
      </c>
      <c r="AE20" s="42">
        <f t="shared" si="3"/>
        <v>74.94593192777862</v>
      </c>
      <c r="AF20" s="42">
        <f t="shared" si="3"/>
        <v>83.98781186665785</v>
      </c>
      <c r="AG20" s="42">
        <f t="shared" si="3"/>
        <v>92.38364658703794</v>
      </c>
      <c r="AH20" s="42">
        <f t="shared" si="3"/>
        <v>100.32053522988235</v>
      </c>
      <c r="AI20" s="42">
        <f t="shared" si="3"/>
        <v>107.90964072359002</v>
      </c>
      <c r="AJ20" s="42">
        <f t="shared" si="3"/>
        <v>115.22339965273248</v>
      </c>
      <c r="AK20" s="42">
        <f t="shared" si="3"/>
        <v>122.31213048015759</v>
      </c>
      <c r="AL20" s="42">
        <f t="shared" si="3"/>
        <v>129.2124717937357</v>
      </c>
      <c r="AM20" s="4"/>
      <c r="AN20" s="4"/>
      <c r="AO20" s="4"/>
      <c r="AP20" s="4"/>
      <c r="AQ20" s="4"/>
      <c r="AR20" s="4"/>
    </row>
    <row r="21" spans="1:44" ht="12.75">
      <c r="A21" s="4"/>
      <c r="B21" s="4"/>
      <c r="C21" s="4"/>
      <c r="D21" s="4"/>
      <c r="E21" s="4"/>
      <c r="F21" s="4"/>
      <c r="G21" s="4"/>
      <c r="H21" s="4"/>
      <c r="I21" s="4"/>
      <c r="J21" s="4"/>
      <c r="K21" s="4"/>
      <c r="L21" s="4"/>
      <c r="M21" s="4"/>
      <c r="N21" s="4"/>
      <c r="O21" s="4"/>
      <c r="P21" s="4"/>
      <c r="Q21" s="4"/>
      <c r="R21" s="4"/>
      <c r="S21" s="4"/>
      <c r="T21" s="4"/>
      <c r="U21" s="4"/>
      <c r="V21" s="4"/>
      <c r="W21" s="4"/>
      <c r="X21" s="4"/>
      <c r="Y21" s="4"/>
      <c r="Z21" s="4"/>
      <c r="AA21" s="41">
        <f t="shared" si="2"/>
        <v>19</v>
      </c>
      <c r="AB21" s="42">
        <f t="shared" si="3"/>
        <v>30.67704925904041</v>
      </c>
      <c r="AC21" s="42">
        <f t="shared" si="3"/>
        <v>55.05591720239917</v>
      </c>
      <c r="AD21" s="42">
        <f t="shared" si="3"/>
        <v>67.29035688939483</v>
      </c>
      <c r="AE21" s="42">
        <f t="shared" si="3"/>
        <v>77.51944613640126</v>
      </c>
      <c r="AF21" s="42">
        <f t="shared" si="3"/>
        <v>86.71010368889645</v>
      </c>
      <c r="AG21" s="42">
        <f t="shared" si="3"/>
        <v>95.23702939577957</v>
      </c>
      <c r="AH21" s="42">
        <f t="shared" si="3"/>
        <v>103.2924409822676</v>
      </c>
      <c r="AI21" s="42">
        <f t="shared" si="3"/>
        <v>110.99054330106352</v>
      </c>
      <c r="AJ21" s="42">
        <f t="shared" si="3"/>
        <v>118.40575555431441</v>
      </c>
      <c r="AK21" s="42">
        <f t="shared" si="3"/>
        <v>125.58977369416695</v>
      </c>
      <c r="AL21" s="42">
        <f t="shared" si="3"/>
        <v>132.58023946777368</v>
      </c>
      <c r="AM21" s="4"/>
      <c r="AN21" s="4"/>
      <c r="AO21" s="4"/>
      <c r="AP21" s="4"/>
      <c r="AQ21" s="4"/>
      <c r="AR21" s="4"/>
    </row>
    <row r="22" spans="1:44" ht="12.75">
      <c r="A22" s="4"/>
      <c r="B22" s="4"/>
      <c r="C22" s="4"/>
      <c r="D22" s="4"/>
      <c r="E22" s="4"/>
      <c r="F22" s="4"/>
      <c r="G22" s="4"/>
      <c r="H22" s="4"/>
      <c r="I22" s="4"/>
      <c r="J22" s="4"/>
      <c r="K22" s="4"/>
      <c r="L22" s="4"/>
      <c r="M22" s="4"/>
      <c r="N22" s="4"/>
      <c r="O22" s="4"/>
      <c r="P22" s="4"/>
      <c r="Q22" s="4"/>
      <c r="R22" s="4"/>
      <c r="S22" s="4"/>
      <c r="T22" s="4"/>
      <c r="U22" s="4"/>
      <c r="V22" s="4"/>
      <c r="W22" s="4"/>
      <c r="X22" s="4"/>
      <c r="Y22" s="4"/>
      <c r="Z22" s="4"/>
      <c r="AA22" s="41">
        <f>D12</f>
        <v>20</v>
      </c>
      <c r="AB22" s="42">
        <f t="shared" si="3"/>
        <v>32.29163079898991</v>
      </c>
      <c r="AC22" s="42">
        <f t="shared" si="3"/>
        <v>57.20874945287515</v>
      </c>
      <c r="AD22" s="42">
        <f t="shared" si="3"/>
        <v>69.66703404741199</v>
      </c>
      <c r="AE22" s="42">
        <f t="shared" si="3"/>
        <v>80.0679704254924</v>
      </c>
      <c r="AF22" s="42">
        <f t="shared" si="3"/>
        <v>89.40353507674793</v>
      </c>
      <c r="AG22" s="42">
        <f t="shared" si="3"/>
        <v>98.05814240876225</v>
      </c>
      <c r="AH22" s="42">
        <f t="shared" si="3"/>
        <v>106.2289951956003</v>
      </c>
      <c r="AI22" s="42">
        <f t="shared" si="3"/>
        <v>114.03326086881613</v>
      </c>
      <c r="AJ22" s="42">
        <f t="shared" si="3"/>
        <v>121.54728954142522</v>
      </c>
      <c r="AK22" s="42">
        <f t="shared" si="3"/>
        <v>128.82411873488817</v>
      </c>
      <c r="AL22" s="42">
        <f t="shared" si="3"/>
        <v>135.90236720017518</v>
      </c>
      <c r="AM22" s="4"/>
      <c r="AN22" s="4"/>
      <c r="AO22" s="4"/>
      <c r="AP22" s="4"/>
      <c r="AQ22" s="4"/>
      <c r="AR22" s="4"/>
    </row>
    <row r="23" spans="1:44"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ht="12.75">
      <c r="A56" s="4"/>
      <c r="B56" s="4"/>
      <c r="C56" s="4"/>
      <c r="D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12.75">
      <c r="A57" s="4"/>
      <c r="B57" s="4"/>
      <c r="C57" s="4"/>
      <c r="D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7:44" ht="12.75">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7:44" ht="12.75">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7:44" ht="12.75">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7:44" ht="12.75">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7:44" ht="12.75">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7:44" ht="12.75">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7:44" ht="12.75">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7:44" ht="12.75">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7:44" ht="12.75">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7:44" ht="12.75">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23:44" ht="12.75">
      <c r="W68" s="4"/>
      <c r="X68" s="4"/>
      <c r="Y68" s="4"/>
      <c r="Z68" s="4"/>
      <c r="AA68" s="4"/>
      <c r="AB68" s="4"/>
      <c r="AC68" s="4"/>
      <c r="AD68" s="4"/>
      <c r="AE68" s="4"/>
      <c r="AF68" s="4"/>
      <c r="AG68" s="4"/>
      <c r="AH68" s="4"/>
      <c r="AI68" s="4"/>
      <c r="AJ68" s="4"/>
      <c r="AK68" s="4"/>
      <c r="AL68" s="4"/>
      <c r="AM68" s="4"/>
      <c r="AN68" s="4"/>
      <c r="AO68" s="4"/>
      <c r="AP68" s="4"/>
      <c r="AQ68" s="4"/>
      <c r="AR68" s="4"/>
    </row>
    <row r="69" spans="23:44" ht="12.75">
      <c r="W69" s="4"/>
      <c r="X69" s="4"/>
      <c r="Y69" s="4"/>
      <c r="Z69" s="4"/>
      <c r="AA69" s="4"/>
      <c r="AB69" s="4"/>
      <c r="AC69" s="4"/>
      <c r="AD69" s="4"/>
      <c r="AE69" s="4"/>
      <c r="AF69" s="4"/>
      <c r="AG69" s="4"/>
      <c r="AH69" s="4"/>
      <c r="AI69" s="4"/>
      <c r="AJ69" s="4"/>
      <c r="AK69" s="4"/>
      <c r="AL69" s="4"/>
      <c r="AM69" s="4"/>
      <c r="AN69" s="4"/>
      <c r="AO69" s="4"/>
      <c r="AP69" s="4"/>
      <c r="AQ69" s="4"/>
      <c r="AR69" s="4"/>
    </row>
    <row r="70" spans="23:44" ht="12.75">
      <c r="W70" s="4"/>
      <c r="X70" s="4"/>
      <c r="Y70" s="4"/>
      <c r="Z70" s="4"/>
      <c r="AA70" s="4"/>
      <c r="AB70" s="4"/>
      <c r="AC70" s="4"/>
      <c r="AD70" s="4"/>
      <c r="AE70" s="4"/>
      <c r="AF70" s="4"/>
      <c r="AG70" s="4"/>
      <c r="AH70" s="4"/>
      <c r="AI70" s="4"/>
      <c r="AJ70" s="4"/>
      <c r="AK70" s="4"/>
      <c r="AL70" s="4"/>
      <c r="AM70" s="4"/>
      <c r="AN70" s="4"/>
      <c r="AO70" s="4"/>
      <c r="AP70" s="4"/>
      <c r="AQ70" s="4"/>
      <c r="AR70" s="4"/>
    </row>
    <row r="71" spans="23:44" ht="12.75">
      <c r="W71" s="4"/>
      <c r="X71" s="4"/>
      <c r="Y71" s="4"/>
      <c r="Z71" s="4"/>
      <c r="AA71" s="4"/>
      <c r="AB71" s="4"/>
      <c r="AC71" s="4"/>
      <c r="AD71" s="4"/>
      <c r="AE71" s="4"/>
      <c r="AF71" s="4"/>
      <c r="AG71" s="4"/>
      <c r="AH71" s="4"/>
      <c r="AI71" s="4"/>
      <c r="AJ71" s="4"/>
      <c r="AK71" s="4"/>
      <c r="AL71" s="4"/>
      <c r="AM71" s="4"/>
      <c r="AN71" s="4"/>
      <c r="AO71" s="4"/>
      <c r="AP71" s="4"/>
      <c r="AQ71" s="4"/>
      <c r="AR71" s="4"/>
    </row>
    <row r="72" spans="23:44" ht="12.75">
      <c r="W72" s="4"/>
      <c r="X72" s="4"/>
      <c r="Y72" s="4"/>
      <c r="Z72" s="4"/>
      <c r="AA72" s="4"/>
      <c r="AB72" s="4"/>
      <c r="AC72" s="4"/>
      <c r="AD72" s="4"/>
      <c r="AE72" s="4"/>
      <c r="AF72" s="4"/>
      <c r="AG72" s="4"/>
      <c r="AH72" s="4"/>
      <c r="AI72" s="4"/>
      <c r="AJ72" s="4"/>
      <c r="AK72" s="4"/>
      <c r="AL72" s="4"/>
      <c r="AM72" s="4"/>
      <c r="AN72" s="4"/>
      <c r="AO72" s="4"/>
      <c r="AP72" s="4"/>
      <c r="AQ72" s="4"/>
      <c r="AR72" s="4"/>
    </row>
    <row r="73" spans="23:44" ht="12.75">
      <c r="W73" s="4"/>
      <c r="X73" s="4"/>
      <c r="Y73" s="4"/>
      <c r="Z73" s="4"/>
      <c r="AA73" s="4"/>
      <c r="AB73" s="4"/>
      <c r="AC73" s="4"/>
      <c r="AD73" s="4"/>
      <c r="AE73" s="4"/>
      <c r="AF73" s="4"/>
      <c r="AG73" s="4"/>
      <c r="AH73" s="4"/>
      <c r="AI73" s="4"/>
      <c r="AJ73" s="4"/>
      <c r="AK73" s="4"/>
      <c r="AL73" s="4"/>
      <c r="AM73" s="4"/>
      <c r="AN73" s="4"/>
      <c r="AO73" s="4"/>
      <c r="AP73" s="4"/>
      <c r="AQ73" s="4"/>
      <c r="AR73" s="4"/>
    </row>
    <row r="74" spans="23:44" ht="12.75">
      <c r="W74" s="4"/>
      <c r="X74" s="4"/>
      <c r="Y74" s="4"/>
      <c r="Z74" s="4"/>
      <c r="AA74" s="4"/>
      <c r="AB74" s="4"/>
      <c r="AC74" s="4"/>
      <c r="AD74" s="4"/>
      <c r="AE74" s="4"/>
      <c r="AF74" s="4"/>
      <c r="AG74" s="4"/>
      <c r="AH74" s="4"/>
      <c r="AI74" s="4"/>
      <c r="AJ74" s="4"/>
      <c r="AK74" s="4"/>
      <c r="AL74" s="4"/>
      <c r="AM74" s="4"/>
      <c r="AN74" s="4"/>
      <c r="AO74" s="4"/>
      <c r="AP74" s="4"/>
      <c r="AQ74" s="4"/>
      <c r="AR74" s="4"/>
    </row>
    <row r="75" spans="23:44" ht="12.75">
      <c r="W75" s="4"/>
      <c r="X75" s="4"/>
      <c r="Y75" s="4"/>
      <c r="Z75" s="4"/>
      <c r="AA75" s="4"/>
      <c r="AB75" s="4"/>
      <c r="AC75" s="4"/>
      <c r="AD75" s="4"/>
      <c r="AE75" s="4"/>
      <c r="AF75" s="4"/>
      <c r="AG75" s="4"/>
      <c r="AH75" s="4"/>
      <c r="AI75" s="4"/>
      <c r="AJ75" s="4"/>
      <c r="AK75" s="4"/>
      <c r="AL75" s="4"/>
      <c r="AM75" s="4"/>
      <c r="AN75" s="4"/>
      <c r="AO75" s="4"/>
      <c r="AP75" s="4"/>
      <c r="AQ75" s="4"/>
      <c r="AR75" s="4"/>
    </row>
    <row r="76" spans="23:44" ht="12.75">
      <c r="W76" s="4"/>
      <c r="X76" s="4"/>
      <c r="Y76" s="4"/>
      <c r="Z76" s="4"/>
      <c r="AA76" s="4"/>
      <c r="AB76" s="4"/>
      <c r="AC76" s="4"/>
      <c r="AD76" s="4"/>
      <c r="AE76" s="4"/>
      <c r="AF76" s="4"/>
      <c r="AG76" s="4"/>
      <c r="AH76" s="4"/>
      <c r="AI76" s="4"/>
      <c r="AJ76" s="4"/>
      <c r="AK76" s="4"/>
      <c r="AL76" s="4"/>
      <c r="AM76" s="4"/>
      <c r="AN76" s="4"/>
      <c r="AO76" s="4"/>
      <c r="AP76" s="4"/>
      <c r="AQ76" s="4"/>
      <c r="AR76" s="4"/>
    </row>
    <row r="77" spans="23:44" ht="12.75">
      <c r="W77" s="4"/>
      <c r="X77" s="4"/>
      <c r="Y77" s="4"/>
      <c r="Z77" s="4"/>
      <c r="AA77" s="4"/>
      <c r="AB77" s="4"/>
      <c r="AC77" s="4"/>
      <c r="AD77" s="4"/>
      <c r="AE77" s="4"/>
      <c r="AF77" s="4"/>
      <c r="AG77" s="4"/>
      <c r="AH77" s="4"/>
      <c r="AI77" s="4"/>
      <c r="AJ77" s="4"/>
      <c r="AK77" s="4"/>
      <c r="AL77" s="4"/>
      <c r="AM77" s="4"/>
      <c r="AN77" s="4"/>
      <c r="AO77" s="4"/>
      <c r="AP77" s="4"/>
      <c r="AQ77" s="4"/>
      <c r="AR77" s="4"/>
    </row>
    <row r="78" spans="23:44" ht="12.75">
      <c r="W78" s="4"/>
      <c r="X78" s="4"/>
      <c r="Y78" s="4"/>
      <c r="Z78" s="4"/>
      <c r="AA78" s="4"/>
      <c r="AB78" s="4"/>
      <c r="AC78" s="4"/>
      <c r="AD78" s="4"/>
      <c r="AE78" s="4"/>
      <c r="AF78" s="4"/>
      <c r="AG78" s="4"/>
      <c r="AH78" s="4"/>
      <c r="AI78" s="4"/>
      <c r="AJ78" s="4"/>
      <c r="AK78" s="4"/>
      <c r="AL78" s="4"/>
      <c r="AM78" s="4"/>
      <c r="AN78" s="4"/>
      <c r="AO78" s="4"/>
      <c r="AP78" s="4"/>
      <c r="AQ78" s="4"/>
      <c r="AR78" s="4"/>
    </row>
    <row r="79" spans="23:44" ht="12.75">
      <c r="W79" s="4"/>
      <c r="X79" s="4"/>
      <c r="Y79" s="4"/>
      <c r="Z79" s="4"/>
      <c r="AA79" s="4"/>
      <c r="AB79" s="4"/>
      <c r="AC79" s="4"/>
      <c r="AD79" s="4"/>
      <c r="AE79" s="4"/>
      <c r="AF79" s="4"/>
      <c r="AG79" s="4"/>
      <c r="AH79" s="4"/>
      <c r="AI79" s="4"/>
      <c r="AJ79" s="4"/>
      <c r="AK79" s="4"/>
      <c r="AL79" s="4"/>
      <c r="AM79" s="4"/>
      <c r="AN79" s="4"/>
      <c r="AO79" s="4"/>
      <c r="AP79" s="4"/>
      <c r="AQ79" s="4"/>
      <c r="AR79" s="4"/>
    </row>
    <row r="80" spans="23:44" ht="12.75">
      <c r="W80" s="4"/>
      <c r="X80" s="4"/>
      <c r="Y80" s="4"/>
      <c r="Z80" s="4"/>
      <c r="AA80" s="4"/>
      <c r="AB80" s="4"/>
      <c r="AC80" s="4"/>
      <c r="AD80" s="4"/>
      <c r="AE80" s="4"/>
      <c r="AF80" s="4"/>
      <c r="AG80" s="4"/>
      <c r="AH80" s="4"/>
      <c r="AI80" s="4"/>
      <c r="AJ80" s="4"/>
      <c r="AK80" s="4"/>
      <c r="AL80" s="4"/>
      <c r="AM80" s="4"/>
      <c r="AN80" s="4"/>
      <c r="AO80" s="4"/>
      <c r="AP80" s="4"/>
      <c r="AQ80" s="4"/>
      <c r="AR80" s="4"/>
    </row>
    <row r="81" spans="23:44" ht="12.75">
      <c r="W81" s="4"/>
      <c r="X81" s="4"/>
      <c r="Y81" s="4"/>
      <c r="Z81" s="4"/>
      <c r="AA81" s="4"/>
      <c r="AB81" s="4"/>
      <c r="AC81" s="4"/>
      <c r="AD81" s="4"/>
      <c r="AE81" s="4"/>
      <c r="AF81" s="4"/>
      <c r="AG81" s="4"/>
      <c r="AH81" s="4"/>
      <c r="AI81" s="4"/>
      <c r="AJ81" s="4"/>
      <c r="AK81" s="4"/>
      <c r="AL81" s="4"/>
      <c r="AM81" s="4"/>
      <c r="AN81" s="4"/>
      <c r="AO81" s="4"/>
      <c r="AP81" s="4"/>
      <c r="AQ81" s="4"/>
      <c r="AR81" s="4"/>
    </row>
    <row r="82" spans="23:44" ht="12.75">
      <c r="W82" s="4"/>
      <c r="X82" s="4"/>
      <c r="Y82" s="4"/>
      <c r="Z82" s="4"/>
      <c r="AA82" s="4"/>
      <c r="AB82" s="4"/>
      <c r="AC82" s="4"/>
      <c r="AD82" s="4"/>
      <c r="AE82" s="4"/>
      <c r="AF82" s="4"/>
      <c r="AG82" s="4"/>
      <c r="AH82" s="4"/>
      <c r="AI82" s="4"/>
      <c r="AJ82" s="4"/>
      <c r="AK82" s="4"/>
      <c r="AL82" s="4"/>
      <c r="AM82" s="4"/>
      <c r="AN82" s="4"/>
      <c r="AO82" s="4"/>
      <c r="AP82" s="4"/>
      <c r="AQ82" s="4"/>
      <c r="AR82" s="4"/>
    </row>
    <row r="83" spans="23:44" ht="12.75">
      <c r="W83" s="4"/>
      <c r="X83" s="4"/>
      <c r="Y83" s="4"/>
      <c r="Z83" s="4"/>
      <c r="AA83" s="4"/>
      <c r="AB83" s="4"/>
      <c r="AC83" s="4"/>
      <c r="AD83" s="4"/>
      <c r="AE83" s="4"/>
      <c r="AF83" s="4"/>
      <c r="AG83" s="4"/>
      <c r="AH83" s="4"/>
      <c r="AI83" s="4"/>
      <c r="AJ83" s="4"/>
      <c r="AK83" s="4"/>
      <c r="AL83" s="4"/>
      <c r="AM83" s="4"/>
      <c r="AN83" s="4"/>
      <c r="AO83" s="4"/>
      <c r="AP83" s="4"/>
      <c r="AQ83" s="4"/>
      <c r="AR83" s="4"/>
    </row>
    <row r="84" spans="23:44" ht="12.75">
      <c r="W84" s="4"/>
      <c r="X84" s="4"/>
      <c r="Y84" s="4"/>
      <c r="Z84" s="4"/>
      <c r="AA84" s="4"/>
      <c r="AB84" s="4"/>
      <c r="AC84" s="4"/>
      <c r="AD84" s="4"/>
      <c r="AE84" s="4"/>
      <c r="AF84" s="4"/>
      <c r="AG84" s="4"/>
      <c r="AH84" s="4"/>
      <c r="AI84" s="4"/>
      <c r="AJ84" s="4"/>
      <c r="AK84" s="4"/>
      <c r="AL84" s="4"/>
      <c r="AM84" s="4"/>
      <c r="AN84" s="4"/>
      <c r="AO84" s="4"/>
      <c r="AP84" s="4"/>
      <c r="AQ84" s="4"/>
      <c r="AR84" s="4"/>
    </row>
    <row r="85" spans="23:44" ht="12.75">
      <c r="W85" s="4"/>
      <c r="X85" s="4"/>
      <c r="Y85" s="4"/>
      <c r="Z85" s="4"/>
      <c r="AA85" s="4"/>
      <c r="AB85" s="4"/>
      <c r="AC85" s="4"/>
      <c r="AD85" s="4"/>
      <c r="AE85" s="4"/>
      <c r="AF85" s="4"/>
      <c r="AG85" s="4"/>
      <c r="AH85" s="4"/>
      <c r="AI85" s="4"/>
      <c r="AJ85" s="4"/>
      <c r="AK85" s="4"/>
      <c r="AL85" s="4"/>
      <c r="AM85" s="4"/>
      <c r="AN85" s="4"/>
      <c r="AO85" s="4"/>
      <c r="AP85" s="4"/>
      <c r="AQ85" s="4"/>
      <c r="AR85" s="4"/>
    </row>
    <row r="86" spans="23:44" ht="12.75">
      <c r="W86" s="4"/>
      <c r="X86" s="4"/>
      <c r="Y86" s="4"/>
      <c r="Z86" s="4"/>
      <c r="AA86" s="4"/>
      <c r="AB86" s="4"/>
      <c r="AC86" s="4"/>
      <c r="AD86" s="4"/>
      <c r="AE86" s="4"/>
      <c r="AF86" s="4"/>
      <c r="AG86" s="4"/>
      <c r="AH86" s="4"/>
      <c r="AI86" s="4"/>
      <c r="AJ86" s="4"/>
      <c r="AK86" s="4"/>
      <c r="AL86" s="4"/>
      <c r="AM86" s="4"/>
      <c r="AN86" s="4"/>
      <c r="AO86" s="4"/>
      <c r="AP86" s="4"/>
      <c r="AQ86" s="4"/>
      <c r="AR86" s="4"/>
    </row>
    <row r="87" spans="23:44" ht="12.75">
      <c r="W87" s="4"/>
      <c r="X87" s="4"/>
      <c r="Y87" s="4"/>
      <c r="Z87" s="4"/>
      <c r="AA87" s="4"/>
      <c r="AB87" s="4"/>
      <c r="AC87" s="4"/>
      <c r="AD87" s="4"/>
      <c r="AE87" s="4"/>
      <c r="AF87" s="4"/>
      <c r="AG87" s="4"/>
      <c r="AH87" s="4"/>
      <c r="AI87" s="4"/>
      <c r="AJ87" s="4"/>
      <c r="AK87" s="4"/>
      <c r="AL87" s="4"/>
      <c r="AM87" s="4"/>
      <c r="AN87" s="4"/>
      <c r="AO87" s="4"/>
      <c r="AP87" s="4"/>
      <c r="AQ87" s="4"/>
      <c r="AR87" s="4"/>
    </row>
    <row r="88" spans="23:44" ht="12.75">
      <c r="W88" s="4"/>
      <c r="X88" s="4"/>
      <c r="Y88" s="4"/>
      <c r="Z88" s="4"/>
      <c r="AA88" s="4"/>
      <c r="AB88" s="4"/>
      <c r="AC88" s="4"/>
      <c r="AD88" s="4"/>
      <c r="AE88" s="4"/>
      <c r="AF88" s="4"/>
      <c r="AG88" s="4"/>
      <c r="AH88" s="4"/>
      <c r="AI88" s="4"/>
      <c r="AJ88" s="4"/>
      <c r="AK88" s="4"/>
      <c r="AL88" s="4"/>
      <c r="AM88" s="4"/>
      <c r="AN88" s="4"/>
      <c r="AO88" s="4"/>
      <c r="AP88" s="4"/>
      <c r="AQ88" s="4"/>
      <c r="AR88" s="4"/>
    </row>
    <row r="89" spans="23:44" ht="12.75">
      <c r="W89" s="4"/>
      <c r="X89" s="4"/>
      <c r="Y89" s="4"/>
      <c r="Z89" s="4"/>
      <c r="AA89" s="4"/>
      <c r="AB89" s="4"/>
      <c r="AC89" s="4"/>
      <c r="AD89" s="4"/>
      <c r="AE89" s="4"/>
      <c r="AF89" s="4"/>
      <c r="AG89" s="4"/>
      <c r="AH89" s="4"/>
      <c r="AI89" s="4"/>
      <c r="AJ89" s="4"/>
      <c r="AK89" s="4"/>
      <c r="AL89" s="4"/>
      <c r="AM89" s="4"/>
      <c r="AN89" s="4"/>
      <c r="AO89" s="4"/>
      <c r="AP89" s="4"/>
      <c r="AQ89" s="4"/>
      <c r="AR89" s="4"/>
    </row>
    <row r="90" spans="23:44" ht="12.75">
      <c r="W90" s="4"/>
      <c r="X90" s="4"/>
      <c r="Y90" s="4"/>
      <c r="Z90" s="4"/>
      <c r="AA90" s="4"/>
      <c r="AB90" s="4"/>
      <c r="AC90" s="4"/>
      <c r="AD90" s="4"/>
      <c r="AE90" s="4"/>
      <c r="AF90" s="4"/>
      <c r="AG90" s="4"/>
      <c r="AH90" s="4"/>
      <c r="AI90" s="4"/>
      <c r="AJ90" s="4"/>
      <c r="AK90" s="4"/>
      <c r="AL90" s="4"/>
      <c r="AM90" s="4"/>
      <c r="AN90" s="4"/>
      <c r="AO90" s="4"/>
      <c r="AP90" s="4"/>
      <c r="AQ90" s="4"/>
      <c r="AR90" s="4"/>
    </row>
    <row r="91" spans="23:44" ht="12.75">
      <c r="W91" s="4"/>
      <c r="X91" s="4"/>
      <c r="Y91" s="4"/>
      <c r="Z91" s="4"/>
      <c r="AA91" s="4"/>
      <c r="AB91" s="4"/>
      <c r="AC91" s="4"/>
      <c r="AD91" s="4"/>
      <c r="AE91" s="4"/>
      <c r="AF91" s="4"/>
      <c r="AG91" s="4"/>
      <c r="AH91" s="4"/>
      <c r="AI91" s="4"/>
      <c r="AJ91" s="4"/>
      <c r="AK91" s="4"/>
      <c r="AL91" s="4"/>
      <c r="AM91" s="4"/>
      <c r="AN91" s="4"/>
      <c r="AO91" s="4"/>
      <c r="AP91" s="4"/>
      <c r="AQ91" s="4"/>
      <c r="AR91" s="4"/>
    </row>
    <row r="92" spans="23:44" ht="12.75">
      <c r="W92" s="4"/>
      <c r="X92" s="4"/>
      <c r="Y92" s="4"/>
      <c r="Z92" s="4"/>
      <c r="AA92" s="4"/>
      <c r="AB92" s="4"/>
      <c r="AC92" s="4"/>
      <c r="AD92" s="4"/>
      <c r="AE92" s="4"/>
      <c r="AF92" s="4"/>
      <c r="AG92" s="4"/>
      <c r="AH92" s="4"/>
      <c r="AI92" s="4"/>
      <c r="AJ92" s="4"/>
      <c r="AK92" s="4"/>
      <c r="AL92" s="4"/>
      <c r="AM92" s="4"/>
      <c r="AN92" s="4"/>
      <c r="AO92" s="4"/>
      <c r="AP92" s="4"/>
      <c r="AQ92" s="4"/>
      <c r="AR92" s="4"/>
    </row>
    <row r="93" spans="23:44" ht="12.75">
      <c r="W93" s="4"/>
      <c r="X93" s="4"/>
      <c r="Y93" s="4"/>
      <c r="Z93" s="4"/>
      <c r="AA93" s="4"/>
      <c r="AB93" s="4"/>
      <c r="AC93" s="4"/>
      <c r="AD93" s="4"/>
      <c r="AE93" s="4"/>
      <c r="AF93" s="4"/>
      <c r="AG93" s="4"/>
      <c r="AH93" s="4"/>
      <c r="AI93" s="4"/>
      <c r="AJ93" s="4"/>
      <c r="AK93" s="4"/>
      <c r="AL93" s="4"/>
      <c r="AM93" s="4"/>
      <c r="AN93" s="4"/>
      <c r="AO93" s="4"/>
      <c r="AP93" s="4"/>
      <c r="AQ93" s="4"/>
      <c r="AR93" s="4"/>
    </row>
    <row r="94" spans="23:44" ht="12.75">
      <c r="W94" s="4"/>
      <c r="X94" s="4"/>
      <c r="Y94" s="4"/>
      <c r="Z94" s="4"/>
      <c r="AA94" s="4"/>
      <c r="AB94" s="4"/>
      <c r="AC94" s="4"/>
      <c r="AD94" s="4"/>
      <c r="AE94" s="4"/>
      <c r="AF94" s="4"/>
      <c r="AG94" s="4"/>
      <c r="AH94" s="4"/>
      <c r="AI94" s="4"/>
      <c r="AJ94" s="4"/>
      <c r="AK94" s="4"/>
      <c r="AL94" s="4"/>
      <c r="AM94" s="4"/>
      <c r="AN94" s="4"/>
      <c r="AO94" s="4"/>
      <c r="AP94" s="4"/>
      <c r="AQ94" s="4"/>
      <c r="AR94" s="4"/>
    </row>
    <row r="95" spans="23:44" ht="12.75">
      <c r="W95" s="4"/>
      <c r="X95" s="4"/>
      <c r="Y95" s="4"/>
      <c r="Z95" s="4"/>
      <c r="AA95" s="4"/>
      <c r="AB95" s="4"/>
      <c r="AC95" s="4"/>
      <c r="AD95" s="4"/>
      <c r="AE95" s="4"/>
      <c r="AF95" s="4"/>
      <c r="AG95" s="4"/>
      <c r="AH95" s="4"/>
      <c r="AI95" s="4"/>
      <c r="AJ95" s="4"/>
      <c r="AK95" s="4"/>
      <c r="AL95" s="4"/>
      <c r="AM95" s="4"/>
      <c r="AN95" s="4"/>
      <c r="AO95" s="4"/>
      <c r="AP95" s="4"/>
      <c r="AQ95" s="4"/>
      <c r="AR95" s="4"/>
    </row>
    <row r="96" spans="23:44" ht="12.75">
      <c r="W96" s="4"/>
      <c r="X96" s="4"/>
      <c r="Y96" s="4"/>
      <c r="Z96" s="4"/>
      <c r="AA96" s="4"/>
      <c r="AB96" s="4"/>
      <c r="AC96" s="4"/>
      <c r="AD96" s="4"/>
      <c r="AE96" s="4"/>
      <c r="AF96" s="4"/>
      <c r="AG96" s="4"/>
      <c r="AH96" s="4"/>
      <c r="AI96" s="4"/>
      <c r="AJ96" s="4"/>
      <c r="AK96" s="4"/>
      <c r="AL96" s="4"/>
      <c r="AM96" s="4"/>
      <c r="AN96" s="4"/>
      <c r="AO96" s="4"/>
      <c r="AP96" s="4"/>
      <c r="AQ96" s="4"/>
      <c r="AR96" s="4"/>
    </row>
    <row r="97" spans="23:44" ht="12.75">
      <c r="W97" s="4"/>
      <c r="X97" s="4"/>
      <c r="Y97" s="4"/>
      <c r="Z97" s="4"/>
      <c r="AA97" s="4"/>
      <c r="AB97" s="4"/>
      <c r="AC97" s="4"/>
      <c r="AD97" s="4"/>
      <c r="AE97" s="4"/>
      <c r="AF97" s="4"/>
      <c r="AG97" s="4"/>
      <c r="AH97" s="4"/>
      <c r="AI97" s="4"/>
      <c r="AJ97" s="4"/>
      <c r="AK97" s="4"/>
      <c r="AL97" s="4"/>
      <c r="AM97" s="4"/>
      <c r="AN97" s="4"/>
      <c r="AO97" s="4"/>
      <c r="AP97" s="4"/>
      <c r="AQ97" s="4"/>
      <c r="AR97" s="4"/>
    </row>
    <row r="98" spans="23:44" ht="12.75">
      <c r="W98" s="4"/>
      <c r="X98" s="4"/>
      <c r="Y98" s="4"/>
      <c r="Z98" s="4"/>
      <c r="AA98" s="4"/>
      <c r="AB98" s="4"/>
      <c r="AC98" s="4"/>
      <c r="AD98" s="4"/>
      <c r="AE98" s="4"/>
      <c r="AF98" s="4"/>
      <c r="AG98" s="4"/>
      <c r="AH98" s="4"/>
      <c r="AI98" s="4"/>
      <c r="AJ98" s="4"/>
      <c r="AK98" s="4"/>
      <c r="AL98" s="4"/>
      <c r="AM98" s="4"/>
      <c r="AN98" s="4"/>
      <c r="AO98" s="4"/>
      <c r="AP98" s="4"/>
      <c r="AQ98" s="4"/>
      <c r="AR98" s="4"/>
    </row>
    <row r="99" spans="23:44" ht="12.75">
      <c r="W99" s="4"/>
      <c r="X99" s="4"/>
      <c r="Y99" s="4"/>
      <c r="Z99" s="4"/>
      <c r="AA99" s="4"/>
      <c r="AB99" s="4"/>
      <c r="AC99" s="4"/>
      <c r="AD99" s="4"/>
      <c r="AE99" s="4"/>
      <c r="AF99" s="4"/>
      <c r="AG99" s="4"/>
      <c r="AH99" s="4"/>
      <c r="AI99" s="4"/>
      <c r="AJ99" s="4"/>
      <c r="AK99" s="4"/>
      <c r="AL99" s="4"/>
      <c r="AM99" s="4"/>
      <c r="AN99" s="4"/>
      <c r="AO99" s="4"/>
      <c r="AP99" s="4"/>
      <c r="AQ99" s="4"/>
      <c r="AR99" s="4"/>
    </row>
    <row r="100" spans="23:44" ht="12.75">
      <c r="W100" s="4"/>
      <c r="X100" s="4"/>
      <c r="Y100" s="4"/>
      <c r="Z100" s="4"/>
      <c r="AA100" s="4"/>
      <c r="AB100" s="4"/>
      <c r="AC100" s="4"/>
      <c r="AD100" s="4"/>
      <c r="AE100" s="4"/>
      <c r="AF100" s="4"/>
      <c r="AG100" s="4"/>
      <c r="AH100" s="4"/>
      <c r="AI100" s="4"/>
      <c r="AJ100" s="4"/>
      <c r="AK100" s="4"/>
      <c r="AL100" s="4"/>
      <c r="AM100" s="4"/>
      <c r="AN100" s="4"/>
      <c r="AO100" s="4"/>
      <c r="AP100" s="4"/>
      <c r="AQ100" s="4"/>
      <c r="AR100" s="4"/>
    </row>
    <row r="101" spans="23:44" ht="12.75">
      <c r="W101" s="4"/>
      <c r="X101" s="4"/>
      <c r="Y101" s="4"/>
      <c r="Z101" s="4"/>
      <c r="AA101" s="4"/>
      <c r="AB101" s="4"/>
      <c r="AC101" s="4"/>
      <c r="AD101" s="4"/>
      <c r="AE101" s="4"/>
      <c r="AF101" s="4"/>
      <c r="AG101" s="4"/>
      <c r="AH101" s="4"/>
      <c r="AI101" s="4"/>
      <c r="AJ101" s="4"/>
      <c r="AK101" s="4"/>
      <c r="AL101" s="4"/>
      <c r="AM101" s="4"/>
      <c r="AN101" s="4"/>
      <c r="AO101" s="4"/>
      <c r="AP101" s="4"/>
      <c r="AQ101" s="4"/>
      <c r="AR101" s="4"/>
    </row>
    <row r="102" spans="23:44" ht="12.75">
      <c r="W102" s="4"/>
      <c r="X102" s="4"/>
      <c r="Y102" s="4"/>
      <c r="Z102" s="4"/>
      <c r="AA102" s="4"/>
      <c r="AB102" s="4"/>
      <c r="AC102" s="4"/>
      <c r="AD102" s="4"/>
      <c r="AE102" s="4"/>
      <c r="AF102" s="4"/>
      <c r="AG102" s="4"/>
      <c r="AH102" s="4"/>
      <c r="AI102" s="4"/>
      <c r="AJ102" s="4"/>
      <c r="AK102" s="4"/>
      <c r="AL102" s="4"/>
      <c r="AM102" s="4"/>
      <c r="AN102" s="4"/>
      <c r="AO102" s="4"/>
      <c r="AP102" s="4"/>
      <c r="AQ102" s="4"/>
      <c r="AR102" s="4"/>
    </row>
    <row r="103" spans="23:44" ht="12.75">
      <c r="W103" s="4"/>
      <c r="X103" s="4"/>
      <c r="Y103" s="4"/>
      <c r="Z103" s="4"/>
      <c r="AA103" s="4"/>
      <c r="AB103" s="4"/>
      <c r="AC103" s="4"/>
      <c r="AD103" s="4"/>
      <c r="AE103" s="4"/>
      <c r="AF103" s="4"/>
      <c r="AG103" s="4"/>
      <c r="AH103" s="4"/>
      <c r="AI103" s="4"/>
      <c r="AJ103" s="4"/>
      <c r="AK103" s="4"/>
      <c r="AL103" s="4"/>
      <c r="AM103" s="4"/>
      <c r="AN103" s="4"/>
      <c r="AO103" s="4"/>
      <c r="AP103" s="4"/>
      <c r="AQ103" s="4"/>
      <c r="AR103" s="4"/>
    </row>
    <row r="104" spans="23:44" ht="12.75">
      <c r="W104" s="4"/>
      <c r="X104" s="4"/>
      <c r="Y104" s="4"/>
      <c r="Z104" s="4"/>
      <c r="AA104" s="4"/>
      <c r="AB104" s="4"/>
      <c r="AC104" s="4"/>
      <c r="AD104" s="4"/>
      <c r="AE104" s="4"/>
      <c r="AF104" s="4"/>
      <c r="AG104" s="4"/>
      <c r="AH104" s="4"/>
      <c r="AI104" s="4"/>
      <c r="AJ104" s="4"/>
      <c r="AK104" s="4"/>
      <c r="AL104" s="4"/>
      <c r="AM104" s="4"/>
      <c r="AN104" s="4"/>
      <c r="AO104" s="4"/>
      <c r="AP104" s="4"/>
      <c r="AQ104" s="4"/>
      <c r="AR104" s="4"/>
    </row>
    <row r="105" spans="23:44" ht="12.75">
      <c r="W105" s="4"/>
      <c r="X105" s="4"/>
      <c r="Y105" s="4"/>
      <c r="Z105" s="4"/>
      <c r="AA105" s="4"/>
      <c r="AB105" s="4"/>
      <c r="AC105" s="4"/>
      <c r="AD105" s="4"/>
      <c r="AE105" s="4"/>
      <c r="AF105" s="4"/>
      <c r="AG105" s="4"/>
      <c r="AH105" s="4"/>
      <c r="AI105" s="4"/>
      <c r="AJ105" s="4"/>
      <c r="AK105" s="4"/>
      <c r="AL105" s="4"/>
      <c r="AM105" s="4"/>
      <c r="AN105" s="4"/>
      <c r="AO105" s="4"/>
      <c r="AP105" s="4"/>
      <c r="AQ105" s="4"/>
      <c r="AR105" s="4"/>
    </row>
    <row r="106" spans="23:44" ht="12.75">
      <c r="W106" s="4"/>
      <c r="X106" s="4"/>
      <c r="Y106" s="4"/>
      <c r="Z106" s="4"/>
      <c r="AA106" s="4"/>
      <c r="AB106" s="4"/>
      <c r="AC106" s="4"/>
      <c r="AD106" s="4"/>
      <c r="AE106" s="4"/>
      <c r="AF106" s="4"/>
      <c r="AG106" s="4"/>
      <c r="AH106" s="4"/>
      <c r="AI106" s="4"/>
      <c r="AJ106" s="4"/>
      <c r="AK106" s="4"/>
      <c r="AL106" s="4"/>
      <c r="AM106" s="4"/>
      <c r="AN106" s="4"/>
      <c r="AO106" s="4"/>
      <c r="AP106" s="4"/>
      <c r="AQ106" s="4"/>
      <c r="AR106" s="4"/>
    </row>
    <row r="107" spans="23:44" ht="12.75">
      <c r="W107" s="4"/>
      <c r="X107" s="4"/>
      <c r="Y107" s="4"/>
      <c r="Z107" s="4"/>
      <c r="AA107" s="4"/>
      <c r="AB107" s="4"/>
      <c r="AC107" s="4"/>
      <c r="AD107" s="4"/>
      <c r="AE107" s="4"/>
      <c r="AF107" s="4"/>
      <c r="AG107" s="4"/>
      <c r="AH107" s="4"/>
      <c r="AI107" s="4"/>
      <c r="AJ107" s="4"/>
      <c r="AK107" s="4"/>
      <c r="AL107" s="4"/>
      <c r="AM107" s="4"/>
      <c r="AN107" s="4"/>
      <c r="AO107" s="4"/>
      <c r="AP107" s="4"/>
      <c r="AQ107" s="4"/>
      <c r="AR107" s="4"/>
    </row>
    <row r="108" spans="23:44" ht="12.75">
      <c r="W108" s="4"/>
      <c r="X108" s="4"/>
      <c r="Y108" s="4"/>
      <c r="Z108" s="4"/>
      <c r="AA108" s="4"/>
      <c r="AB108" s="4"/>
      <c r="AC108" s="4"/>
      <c r="AD108" s="4"/>
      <c r="AE108" s="4"/>
      <c r="AF108" s="4"/>
      <c r="AG108" s="4"/>
      <c r="AH108" s="4"/>
      <c r="AI108" s="4"/>
      <c r="AJ108" s="4"/>
      <c r="AK108" s="4"/>
      <c r="AL108" s="4"/>
      <c r="AM108" s="4"/>
      <c r="AN108" s="4"/>
      <c r="AO108" s="4"/>
      <c r="AP108" s="4"/>
      <c r="AQ108" s="4"/>
      <c r="AR108" s="4"/>
    </row>
    <row r="109" spans="23:44" ht="12.75">
      <c r="W109" s="4"/>
      <c r="X109" s="4"/>
      <c r="Y109" s="4"/>
      <c r="Z109" s="4"/>
      <c r="AA109" s="4"/>
      <c r="AB109" s="4"/>
      <c r="AC109" s="4"/>
      <c r="AD109" s="4"/>
      <c r="AE109" s="4"/>
      <c r="AF109" s="4"/>
      <c r="AG109" s="4"/>
      <c r="AH109" s="4"/>
      <c r="AI109" s="4"/>
      <c r="AJ109" s="4"/>
      <c r="AK109" s="4"/>
      <c r="AL109" s="4"/>
      <c r="AM109" s="4"/>
      <c r="AN109" s="4"/>
      <c r="AO109" s="4"/>
      <c r="AP109" s="4"/>
      <c r="AQ109" s="4"/>
      <c r="AR109" s="4"/>
    </row>
    <row r="110" spans="23:44" ht="12.75">
      <c r="W110" s="4"/>
      <c r="X110" s="4"/>
      <c r="Y110" s="4"/>
      <c r="Z110" s="4"/>
      <c r="AA110" s="4"/>
      <c r="AB110" s="4"/>
      <c r="AC110" s="4"/>
      <c r="AD110" s="4"/>
      <c r="AE110" s="4"/>
      <c r="AF110" s="4"/>
      <c r="AG110" s="4"/>
      <c r="AH110" s="4"/>
      <c r="AI110" s="4"/>
      <c r="AJ110" s="4"/>
      <c r="AK110" s="4"/>
      <c r="AL110" s="4"/>
      <c r="AM110" s="4"/>
      <c r="AN110" s="4"/>
      <c r="AO110" s="4"/>
      <c r="AP110" s="4"/>
      <c r="AQ110" s="4"/>
      <c r="AR110" s="4"/>
    </row>
    <row r="111" spans="23:44" ht="12.75">
      <c r="W111" s="4"/>
      <c r="X111" s="4"/>
      <c r="Y111" s="4"/>
      <c r="Z111" s="4"/>
      <c r="AA111" s="4"/>
      <c r="AB111" s="4"/>
      <c r="AC111" s="4"/>
      <c r="AD111" s="4"/>
      <c r="AE111" s="4"/>
      <c r="AF111" s="4"/>
      <c r="AG111" s="4"/>
      <c r="AH111" s="4"/>
      <c r="AI111" s="4"/>
      <c r="AJ111" s="4"/>
      <c r="AK111" s="4"/>
      <c r="AL111" s="4"/>
      <c r="AM111" s="4"/>
      <c r="AN111" s="4"/>
      <c r="AO111" s="4"/>
      <c r="AP111" s="4"/>
      <c r="AQ111" s="4"/>
      <c r="AR111" s="4"/>
    </row>
    <row r="112" spans="23:44" ht="12.75">
      <c r="W112" s="4"/>
      <c r="X112" s="4"/>
      <c r="Y112" s="4"/>
      <c r="Z112" s="4"/>
      <c r="AA112" s="4"/>
      <c r="AB112" s="4"/>
      <c r="AC112" s="4"/>
      <c r="AD112" s="4"/>
      <c r="AE112" s="4"/>
      <c r="AF112" s="4"/>
      <c r="AG112" s="4"/>
      <c r="AH112" s="4"/>
      <c r="AI112" s="4"/>
      <c r="AJ112" s="4"/>
      <c r="AK112" s="4"/>
      <c r="AL112" s="4"/>
      <c r="AM112" s="4"/>
      <c r="AN112" s="4"/>
      <c r="AO112" s="4"/>
      <c r="AP112" s="4"/>
      <c r="AQ112" s="4"/>
      <c r="AR112" s="4"/>
    </row>
    <row r="113" spans="23:44" ht="12.75">
      <c r="W113" s="4"/>
      <c r="X113" s="4"/>
      <c r="Y113" s="4"/>
      <c r="Z113" s="4"/>
      <c r="AA113" s="4"/>
      <c r="AB113" s="4"/>
      <c r="AC113" s="4"/>
      <c r="AD113" s="4"/>
      <c r="AE113" s="4"/>
      <c r="AF113" s="4"/>
      <c r="AG113" s="4"/>
      <c r="AH113" s="4"/>
      <c r="AI113" s="4"/>
      <c r="AJ113" s="4"/>
      <c r="AK113" s="4"/>
      <c r="AL113" s="4"/>
      <c r="AM113" s="4"/>
      <c r="AN113" s="4"/>
      <c r="AO113" s="4"/>
      <c r="AP113" s="4"/>
      <c r="AQ113" s="4"/>
      <c r="AR113" s="4"/>
    </row>
    <row r="114" spans="23:44" ht="12.75">
      <c r="W114" s="4"/>
      <c r="X114" s="4"/>
      <c r="Y114" s="4"/>
      <c r="Z114" s="4"/>
      <c r="AA114" s="4"/>
      <c r="AB114" s="4"/>
      <c r="AC114" s="4"/>
      <c r="AD114" s="4"/>
      <c r="AE114" s="4"/>
      <c r="AF114" s="4"/>
      <c r="AG114" s="4"/>
      <c r="AH114" s="4"/>
      <c r="AI114" s="4"/>
      <c r="AJ114" s="4"/>
      <c r="AK114" s="4"/>
      <c r="AL114" s="4"/>
      <c r="AM114" s="4"/>
      <c r="AN114" s="4"/>
      <c r="AO114" s="4"/>
      <c r="AP114" s="4"/>
      <c r="AQ114" s="4"/>
      <c r="AR114" s="4"/>
    </row>
    <row r="115" spans="23:44" ht="12.75">
      <c r="W115" s="4"/>
      <c r="X115" s="4"/>
      <c r="Y115" s="4"/>
      <c r="Z115" s="4"/>
      <c r="AA115" s="4"/>
      <c r="AB115" s="4"/>
      <c r="AC115" s="4"/>
      <c r="AD115" s="4"/>
      <c r="AE115" s="4"/>
      <c r="AF115" s="4"/>
      <c r="AG115" s="4"/>
      <c r="AH115" s="4"/>
      <c r="AI115" s="4"/>
      <c r="AJ115" s="4"/>
      <c r="AK115" s="4"/>
      <c r="AL115" s="4"/>
      <c r="AM115" s="4"/>
      <c r="AN115" s="4"/>
      <c r="AO115" s="4"/>
      <c r="AP115" s="4"/>
      <c r="AQ115" s="4"/>
      <c r="AR115" s="4"/>
    </row>
    <row r="116" spans="23:44" ht="12.75">
      <c r="W116" s="4"/>
      <c r="X116" s="4"/>
      <c r="Y116" s="4"/>
      <c r="Z116" s="4"/>
      <c r="AA116" s="4"/>
      <c r="AB116" s="4"/>
      <c r="AC116" s="4"/>
      <c r="AD116" s="4"/>
      <c r="AE116" s="4"/>
      <c r="AF116" s="4"/>
      <c r="AG116" s="4"/>
      <c r="AH116" s="4"/>
      <c r="AI116" s="4"/>
      <c r="AJ116" s="4"/>
      <c r="AK116" s="4"/>
      <c r="AL116" s="4"/>
      <c r="AM116" s="4"/>
      <c r="AN116" s="4"/>
      <c r="AO116" s="4"/>
      <c r="AP116" s="4"/>
      <c r="AQ116" s="4"/>
      <c r="AR116" s="4"/>
    </row>
    <row r="117" spans="23:44" ht="12.75">
      <c r="W117" s="4"/>
      <c r="X117" s="4"/>
      <c r="Y117" s="4"/>
      <c r="Z117" s="4"/>
      <c r="AA117" s="4"/>
      <c r="AB117" s="4"/>
      <c r="AC117" s="4"/>
      <c r="AD117" s="4"/>
      <c r="AE117" s="4"/>
      <c r="AF117" s="4"/>
      <c r="AG117" s="4"/>
      <c r="AH117" s="4"/>
      <c r="AI117" s="4"/>
      <c r="AJ117" s="4"/>
      <c r="AK117" s="4"/>
      <c r="AL117" s="4"/>
      <c r="AM117" s="4"/>
      <c r="AN117" s="4"/>
      <c r="AO117" s="4"/>
      <c r="AP117" s="4"/>
      <c r="AQ117" s="4"/>
      <c r="AR117" s="4"/>
    </row>
    <row r="118" spans="23:44" ht="12.75">
      <c r="W118" s="4"/>
      <c r="X118" s="4"/>
      <c r="Y118" s="4"/>
      <c r="Z118" s="4"/>
      <c r="AA118" s="4"/>
      <c r="AB118" s="4"/>
      <c r="AC118" s="4"/>
      <c r="AD118" s="4"/>
      <c r="AE118" s="4"/>
      <c r="AF118" s="4"/>
      <c r="AG118" s="4"/>
      <c r="AH118" s="4"/>
      <c r="AI118" s="4"/>
      <c r="AJ118" s="4"/>
      <c r="AK118" s="4"/>
      <c r="AL118" s="4"/>
      <c r="AM118" s="4"/>
      <c r="AN118" s="4"/>
      <c r="AO118" s="4"/>
      <c r="AP118" s="4"/>
      <c r="AQ118" s="4"/>
      <c r="AR118" s="4"/>
    </row>
    <row r="119" spans="23:44" ht="12.75">
      <c r="W119" s="4"/>
      <c r="X119" s="4"/>
      <c r="Y119" s="4"/>
      <c r="Z119" s="4"/>
      <c r="AA119" s="4"/>
      <c r="AB119" s="4"/>
      <c r="AC119" s="4"/>
      <c r="AD119" s="4"/>
      <c r="AE119" s="4"/>
      <c r="AF119" s="4"/>
      <c r="AG119" s="4"/>
      <c r="AH119" s="4"/>
      <c r="AI119" s="4"/>
      <c r="AJ119" s="4"/>
      <c r="AK119" s="4"/>
      <c r="AL119" s="4"/>
      <c r="AM119" s="4"/>
      <c r="AN119" s="4"/>
      <c r="AO119" s="4"/>
      <c r="AP119" s="4"/>
      <c r="AQ119" s="4"/>
      <c r="AR119" s="4"/>
    </row>
    <row r="120" spans="23:44" ht="12.75">
      <c r="W120" s="4"/>
      <c r="X120" s="4"/>
      <c r="Y120" s="4"/>
      <c r="Z120" s="4"/>
      <c r="AA120" s="4"/>
      <c r="AB120" s="4"/>
      <c r="AC120" s="4"/>
      <c r="AD120" s="4"/>
      <c r="AE120" s="4"/>
      <c r="AF120" s="4"/>
      <c r="AG120" s="4"/>
      <c r="AH120" s="4"/>
      <c r="AI120" s="4"/>
      <c r="AJ120" s="4"/>
      <c r="AK120" s="4"/>
      <c r="AL120" s="4"/>
      <c r="AM120" s="4"/>
      <c r="AN120" s="4"/>
      <c r="AO120" s="4"/>
      <c r="AP120" s="4"/>
      <c r="AQ120" s="4"/>
      <c r="AR120" s="4"/>
    </row>
    <row r="121" spans="23:44" ht="12.75">
      <c r="W121" s="4"/>
      <c r="X121" s="4"/>
      <c r="Y121" s="4"/>
      <c r="Z121" s="4"/>
      <c r="AA121" s="4"/>
      <c r="AB121" s="4"/>
      <c r="AC121" s="4"/>
      <c r="AD121" s="4"/>
      <c r="AE121" s="4"/>
      <c r="AF121" s="4"/>
      <c r="AG121" s="4"/>
      <c r="AH121" s="4"/>
      <c r="AI121" s="4"/>
      <c r="AJ121" s="4"/>
      <c r="AK121" s="4"/>
      <c r="AL121" s="4"/>
      <c r="AM121" s="4"/>
      <c r="AN121" s="4"/>
      <c r="AO121" s="4"/>
      <c r="AP121" s="4"/>
      <c r="AQ121" s="4"/>
      <c r="AR121" s="4"/>
    </row>
    <row r="122" spans="23:44" ht="12.75">
      <c r="W122" s="4"/>
      <c r="X122" s="4"/>
      <c r="Y122" s="4"/>
      <c r="Z122" s="4"/>
      <c r="AA122" s="4"/>
      <c r="AB122" s="4"/>
      <c r="AC122" s="4"/>
      <c r="AD122" s="4"/>
      <c r="AE122" s="4"/>
      <c r="AF122" s="4"/>
      <c r="AG122" s="4"/>
      <c r="AH122" s="4"/>
      <c r="AI122" s="4"/>
      <c r="AJ122" s="4"/>
      <c r="AK122" s="4"/>
      <c r="AL122" s="4"/>
      <c r="AM122" s="4"/>
      <c r="AN122" s="4"/>
      <c r="AO122" s="4"/>
      <c r="AP122" s="4"/>
      <c r="AQ122" s="4"/>
      <c r="AR122" s="4"/>
    </row>
    <row r="123" spans="23:44" ht="12.75">
      <c r="W123" s="4"/>
      <c r="X123" s="4"/>
      <c r="Y123" s="4"/>
      <c r="Z123" s="4"/>
      <c r="AA123" s="4"/>
      <c r="AB123" s="4"/>
      <c r="AC123" s="4"/>
      <c r="AD123" s="4"/>
      <c r="AE123" s="4"/>
      <c r="AF123" s="4"/>
      <c r="AG123" s="4"/>
      <c r="AH123" s="4"/>
      <c r="AI123" s="4"/>
      <c r="AJ123" s="4"/>
      <c r="AK123" s="4"/>
      <c r="AL123" s="4"/>
      <c r="AM123" s="4"/>
      <c r="AN123" s="4"/>
      <c r="AO123" s="4"/>
      <c r="AP123" s="4"/>
      <c r="AQ123" s="4"/>
      <c r="AR123" s="4"/>
    </row>
    <row r="124" spans="23:44" ht="12.75">
      <c r="W124" s="4"/>
      <c r="X124" s="4"/>
      <c r="Y124" s="4"/>
      <c r="Z124" s="4"/>
      <c r="AA124" s="4"/>
      <c r="AB124" s="4"/>
      <c r="AC124" s="4"/>
      <c r="AD124" s="4"/>
      <c r="AE124" s="4"/>
      <c r="AF124" s="4"/>
      <c r="AG124" s="4"/>
      <c r="AH124" s="4"/>
      <c r="AI124" s="4"/>
      <c r="AJ124" s="4"/>
      <c r="AK124" s="4"/>
      <c r="AL124" s="4"/>
      <c r="AM124" s="4"/>
      <c r="AN124" s="4"/>
      <c r="AO124" s="4"/>
      <c r="AP124" s="4"/>
      <c r="AQ124" s="4"/>
      <c r="AR124" s="4"/>
    </row>
    <row r="125" spans="23:44" ht="12.75">
      <c r="W125" s="4"/>
      <c r="X125" s="4"/>
      <c r="Y125" s="4"/>
      <c r="Z125" s="4"/>
      <c r="AA125" s="4"/>
      <c r="AB125" s="4"/>
      <c r="AC125" s="4"/>
      <c r="AD125" s="4"/>
      <c r="AE125" s="4"/>
      <c r="AF125" s="4"/>
      <c r="AG125" s="4"/>
      <c r="AH125" s="4"/>
      <c r="AI125" s="4"/>
      <c r="AJ125" s="4"/>
      <c r="AK125" s="4"/>
      <c r="AL125" s="4"/>
      <c r="AM125" s="4"/>
      <c r="AN125" s="4"/>
      <c r="AO125" s="4"/>
      <c r="AP125" s="4"/>
      <c r="AQ125" s="4"/>
      <c r="AR125" s="4"/>
    </row>
    <row r="126" spans="23:44" ht="12.75">
      <c r="W126" s="4"/>
      <c r="X126" s="4"/>
      <c r="Y126" s="4"/>
      <c r="Z126" s="4"/>
      <c r="AA126" s="4"/>
      <c r="AB126" s="4"/>
      <c r="AC126" s="4"/>
      <c r="AD126" s="4"/>
      <c r="AE126" s="4"/>
      <c r="AF126" s="4"/>
      <c r="AG126" s="4"/>
      <c r="AH126" s="4"/>
      <c r="AI126" s="4"/>
      <c r="AJ126" s="4"/>
      <c r="AK126" s="4"/>
      <c r="AL126" s="4"/>
      <c r="AM126" s="4"/>
      <c r="AN126" s="4"/>
      <c r="AO126" s="4"/>
      <c r="AP126" s="4"/>
      <c r="AQ126" s="4"/>
      <c r="AR126" s="4"/>
    </row>
    <row r="127" spans="23:44" ht="12.75">
      <c r="W127" s="4"/>
      <c r="X127" s="4"/>
      <c r="Y127" s="4"/>
      <c r="Z127" s="4"/>
      <c r="AA127" s="4"/>
      <c r="AB127" s="4"/>
      <c r="AC127" s="4"/>
      <c r="AD127" s="4"/>
      <c r="AE127" s="4"/>
      <c r="AF127" s="4"/>
      <c r="AG127" s="4"/>
      <c r="AH127" s="4"/>
      <c r="AI127" s="4"/>
      <c r="AJ127" s="4"/>
      <c r="AK127" s="4"/>
      <c r="AL127" s="4"/>
      <c r="AM127" s="4"/>
      <c r="AN127" s="4"/>
      <c r="AO127" s="4"/>
      <c r="AP127" s="4"/>
      <c r="AQ127" s="4"/>
      <c r="AR127" s="4"/>
    </row>
    <row r="128" spans="23:44" ht="12.75">
      <c r="W128" s="4"/>
      <c r="X128" s="4"/>
      <c r="Y128" s="4"/>
      <c r="Z128" s="4"/>
      <c r="AA128" s="4"/>
      <c r="AB128" s="4"/>
      <c r="AC128" s="4"/>
      <c r="AD128" s="4"/>
      <c r="AE128" s="4"/>
      <c r="AF128" s="4"/>
      <c r="AG128" s="4"/>
      <c r="AH128" s="4"/>
      <c r="AI128" s="4"/>
      <c r="AJ128" s="4"/>
      <c r="AK128" s="4"/>
      <c r="AL128" s="4"/>
      <c r="AM128" s="4"/>
      <c r="AN128" s="4"/>
      <c r="AO128" s="4"/>
      <c r="AP128" s="4"/>
      <c r="AQ128" s="4"/>
      <c r="AR128" s="4"/>
    </row>
    <row r="129" spans="23:44" ht="12.75">
      <c r="W129" s="4"/>
      <c r="X129" s="4"/>
      <c r="Y129" s="4"/>
      <c r="Z129" s="4"/>
      <c r="AA129" s="4"/>
      <c r="AB129" s="4"/>
      <c r="AC129" s="4"/>
      <c r="AD129" s="4"/>
      <c r="AE129" s="4"/>
      <c r="AF129" s="4"/>
      <c r="AG129" s="4"/>
      <c r="AH129" s="4"/>
      <c r="AI129" s="4"/>
      <c r="AJ129" s="4"/>
      <c r="AK129" s="4"/>
      <c r="AL129" s="4"/>
      <c r="AM129" s="4"/>
      <c r="AN129" s="4"/>
      <c r="AO129" s="4"/>
      <c r="AP129" s="4"/>
      <c r="AQ129" s="4"/>
      <c r="AR129" s="4"/>
    </row>
    <row r="130" spans="23:44" ht="12.75">
      <c r="W130" s="4"/>
      <c r="X130" s="4"/>
      <c r="Y130" s="4"/>
      <c r="Z130" s="4"/>
      <c r="AA130" s="4"/>
      <c r="AB130" s="4"/>
      <c r="AC130" s="4"/>
      <c r="AD130" s="4"/>
      <c r="AE130" s="4"/>
      <c r="AF130" s="4"/>
      <c r="AG130" s="4"/>
      <c r="AH130" s="4"/>
      <c r="AI130" s="4"/>
      <c r="AJ130" s="4"/>
      <c r="AK130" s="4"/>
      <c r="AL130" s="4"/>
      <c r="AM130" s="4"/>
      <c r="AN130" s="4"/>
      <c r="AO130" s="4"/>
      <c r="AP130" s="4"/>
      <c r="AQ130" s="4"/>
      <c r="AR130" s="4"/>
    </row>
    <row r="131" spans="23:44" ht="12.75">
      <c r="W131" s="4"/>
      <c r="X131" s="4"/>
      <c r="Y131" s="4"/>
      <c r="Z131" s="4"/>
      <c r="AA131" s="4"/>
      <c r="AB131" s="4"/>
      <c r="AC131" s="4"/>
      <c r="AD131" s="4"/>
      <c r="AE131" s="4"/>
      <c r="AF131" s="4"/>
      <c r="AG131" s="4"/>
      <c r="AH131" s="4"/>
      <c r="AI131" s="4"/>
      <c r="AJ131" s="4"/>
      <c r="AK131" s="4"/>
      <c r="AL131" s="4"/>
      <c r="AM131" s="4"/>
      <c r="AN131" s="4"/>
      <c r="AO131" s="4"/>
      <c r="AP131" s="4"/>
      <c r="AQ131" s="4"/>
      <c r="AR131" s="4"/>
    </row>
    <row r="132" spans="23:44" ht="12.75">
      <c r="W132" s="4"/>
      <c r="X132" s="4"/>
      <c r="Y132" s="4"/>
      <c r="Z132" s="4"/>
      <c r="AA132" s="4"/>
      <c r="AB132" s="4"/>
      <c r="AC132" s="4"/>
      <c r="AD132" s="4"/>
      <c r="AE132" s="4"/>
      <c r="AF132" s="4"/>
      <c r="AG132" s="4"/>
      <c r="AH132" s="4"/>
      <c r="AI132" s="4"/>
      <c r="AJ132" s="4"/>
      <c r="AK132" s="4"/>
      <c r="AL132" s="4"/>
      <c r="AM132" s="4"/>
      <c r="AN132" s="4"/>
      <c r="AO132" s="4"/>
      <c r="AP132" s="4"/>
      <c r="AQ132" s="4"/>
      <c r="AR132" s="4"/>
    </row>
    <row r="133" spans="23:44" ht="12.75">
      <c r="W133" s="4"/>
      <c r="X133" s="4"/>
      <c r="Y133" s="4"/>
      <c r="Z133" s="4"/>
      <c r="AA133" s="4"/>
      <c r="AB133" s="4"/>
      <c r="AC133" s="4"/>
      <c r="AD133" s="4"/>
      <c r="AE133" s="4"/>
      <c r="AF133" s="4"/>
      <c r="AG133" s="4"/>
      <c r="AH133" s="4"/>
      <c r="AI133" s="4"/>
      <c r="AJ133" s="4"/>
      <c r="AK133" s="4"/>
      <c r="AL133" s="4"/>
      <c r="AM133" s="4"/>
      <c r="AN133" s="4"/>
      <c r="AO133" s="4"/>
      <c r="AP133" s="4"/>
      <c r="AQ133" s="4"/>
      <c r="AR133" s="4"/>
    </row>
    <row r="134" spans="23:44" ht="12.75">
      <c r="W134" s="4"/>
      <c r="X134" s="4"/>
      <c r="Y134" s="4"/>
      <c r="Z134" s="4"/>
      <c r="AA134" s="4"/>
      <c r="AB134" s="4"/>
      <c r="AC134" s="4"/>
      <c r="AD134" s="4"/>
      <c r="AE134" s="4"/>
      <c r="AF134" s="4"/>
      <c r="AG134" s="4"/>
      <c r="AH134" s="4"/>
      <c r="AI134" s="4"/>
      <c r="AJ134" s="4"/>
      <c r="AK134" s="4"/>
      <c r="AL134" s="4"/>
      <c r="AM134" s="4"/>
      <c r="AN134" s="4"/>
      <c r="AO134" s="4"/>
      <c r="AP134" s="4"/>
      <c r="AQ134" s="4"/>
      <c r="AR134" s="4"/>
    </row>
    <row r="135" spans="23:44" ht="12.75">
      <c r="W135" s="4"/>
      <c r="X135" s="4"/>
      <c r="Y135" s="4"/>
      <c r="Z135" s="4"/>
      <c r="AA135" s="4"/>
      <c r="AB135" s="4"/>
      <c r="AC135" s="4"/>
      <c r="AD135" s="4"/>
      <c r="AE135" s="4"/>
      <c r="AF135" s="4"/>
      <c r="AG135" s="4"/>
      <c r="AH135" s="4"/>
      <c r="AI135" s="4"/>
      <c r="AJ135" s="4"/>
      <c r="AK135" s="4"/>
      <c r="AL135" s="4"/>
      <c r="AM135" s="4"/>
      <c r="AN135" s="4"/>
      <c r="AO135" s="4"/>
      <c r="AP135" s="4"/>
      <c r="AQ135" s="4"/>
      <c r="AR135" s="4"/>
    </row>
    <row r="136" spans="23:44" ht="12.75">
      <c r="W136" s="4"/>
      <c r="X136" s="4"/>
      <c r="Y136" s="4"/>
      <c r="Z136" s="4"/>
      <c r="AA136" s="4"/>
      <c r="AB136" s="4"/>
      <c r="AC136" s="4"/>
      <c r="AD136" s="4"/>
      <c r="AE136" s="4"/>
      <c r="AF136" s="4"/>
      <c r="AG136" s="4"/>
      <c r="AH136" s="4"/>
      <c r="AI136" s="4"/>
      <c r="AJ136" s="4"/>
      <c r="AK136" s="4"/>
      <c r="AL136" s="4"/>
      <c r="AM136" s="4"/>
      <c r="AN136" s="4"/>
      <c r="AO136" s="4"/>
      <c r="AP136" s="4"/>
      <c r="AQ136" s="4"/>
      <c r="AR136" s="4"/>
    </row>
    <row r="137" spans="23:44" ht="12.75">
      <c r="W137" s="4"/>
      <c r="X137" s="4"/>
      <c r="Y137" s="4"/>
      <c r="Z137" s="4"/>
      <c r="AA137" s="4"/>
      <c r="AB137" s="4"/>
      <c r="AC137" s="4"/>
      <c r="AD137" s="4"/>
      <c r="AE137" s="4"/>
      <c r="AF137" s="4"/>
      <c r="AG137" s="4"/>
      <c r="AH137" s="4"/>
      <c r="AI137" s="4"/>
      <c r="AJ137" s="4"/>
      <c r="AK137" s="4"/>
      <c r="AL137" s="4"/>
      <c r="AM137" s="4"/>
      <c r="AN137" s="4"/>
      <c r="AO137" s="4"/>
      <c r="AP137" s="4"/>
      <c r="AQ137" s="4"/>
      <c r="AR137" s="4"/>
    </row>
    <row r="138" spans="23:44" ht="12.75">
      <c r="W138" s="4"/>
      <c r="X138" s="4"/>
      <c r="Y138" s="4"/>
      <c r="Z138" s="4"/>
      <c r="AA138" s="4"/>
      <c r="AB138" s="4"/>
      <c r="AC138" s="4"/>
      <c r="AD138" s="4"/>
      <c r="AE138" s="4"/>
      <c r="AF138" s="4"/>
      <c r="AG138" s="4"/>
      <c r="AH138" s="4"/>
      <c r="AI138" s="4"/>
      <c r="AJ138" s="4"/>
      <c r="AK138" s="4"/>
      <c r="AL138" s="4"/>
      <c r="AM138" s="4"/>
      <c r="AN138" s="4"/>
      <c r="AO138" s="4"/>
      <c r="AP138" s="4"/>
      <c r="AQ138" s="4"/>
      <c r="AR138" s="4"/>
    </row>
    <row r="139" spans="23:44" ht="12.75">
      <c r="W139" s="4"/>
      <c r="X139" s="4"/>
      <c r="Y139" s="4"/>
      <c r="Z139" s="4"/>
      <c r="AA139" s="4"/>
      <c r="AB139" s="4"/>
      <c r="AC139" s="4"/>
      <c r="AD139" s="4"/>
      <c r="AE139" s="4"/>
      <c r="AF139" s="4"/>
      <c r="AG139" s="4"/>
      <c r="AH139" s="4"/>
      <c r="AI139" s="4"/>
      <c r="AJ139" s="4"/>
      <c r="AK139" s="4"/>
      <c r="AL139" s="4"/>
      <c r="AM139" s="4"/>
      <c r="AN139" s="4"/>
      <c r="AO139" s="4"/>
      <c r="AP139" s="4"/>
      <c r="AQ139" s="4"/>
      <c r="AR139" s="4"/>
    </row>
    <row r="140" spans="23:44" ht="12.75">
      <c r="W140" s="4"/>
      <c r="X140" s="4"/>
      <c r="Y140" s="4"/>
      <c r="Z140" s="4"/>
      <c r="AA140" s="4"/>
      <c r="AB140" s="4"/>
      <c r="AC140" s="4"/>
      <c r="AD140" s="4"/>
      <c r="AE140" s="4"/>
      <c r="AF140" s="4"/>
      <c r="AG140" s="4"/>
      <c r="AH140" s="4"/>
      <c r="AI140" s="4"/>
      <c r="AJ140" s="4"/>
      <c r="AK140" s="4"/>
      <c r="AL140" s="4"/>
      <c r="AM140" s="4"/>
      <c r="AN140" s="4"/>
      <c r="AO140" s="4"/>
      <c r="AP140" s="4"/>
      <c r="AQ140" s="4"/>
      <c r="AR140" s="4"/>
    </row>
    <row r="141" spans="23:44" ht="12.75">
      <c r="W141" s="4"/>
      <c r="X141" s="4"/>
      <c r="Y141" s="4"/>
      <c r="Z141" s="4"/>
      <c r="AA141" s="4"/>
      <c r="AB141" s="4"/>
      <c r="AC141" s="4"/>
      <c r="AD141" s="4"/>
      <c r="AE141" s="4"/>
      <c r="AF141" s="4"/>
      <c r="AG141" s="4"/>
      <c r="AH141" s="4"/>
      <c r="AI141" s="4"/>
      <c r="AJ141" s="4"/>
      <c r="AK141" s="4"/>
      <c r="AL141" s="4"/>
      <c r="AM141" s="4"/>
      <c r="AN141" s="4"/>
      <c r="AO141" s="4"/>
      <c r="AP141" s="4"/>
      <c r="AQ141" s="4"/>
      <c r="AR141" s="4"/>
    </row>
    <row r="142" spans="23:44" ht="12.75">
      <c r="W142" s="4"/>
      <c r="X142" s="4"/>
      <c r="Y142" s="4"/>
      <c r="Z142" s="4"/>
      <c r="AA142" s="4"/>
      <c r="AB142" s="4"/>
      <c r="AC142" s="4"/>
      <c r="AD142" s="4"/>
      <c r="AE142" s="4"/>
      <c r="AF142" s="4"/>
      <c r="AG142" s="4"/>
      <c r="AH142" s="4"/>
      <c r="AI142" s="4"/>
      <c r="AJ142" s="4"/>
      <c r="AK142" s="4"/>
      <c r="AL142" s="4"/>
      <c r="AM142" s="4"/>
      <c r="AN142" s="4"/>
      <c r="AO142" s="4"/>
      <c r="AP142" s="4"/>
      <c r="AQ142" s="4"/>
      <c r="AR142" s="4"/>
    </row>
    <row r="143" spans="23:44" ht="12.75">
      <c r="W143" s="4"/>
      <c r="X143" s="4"/>
      <c r="Y143" s="4"/>
      <c r="Z143" s="4"/>
      <c r="AA143" s="4"/>
      <c r="AB143" s="4"/>
      <c r="AC143" s="4"/>
      <c r="AD143" s="4"/>
      <c r="AE143" s="4"/>
      <c r="AF143" s="4"/>
      <c r="AG143" s="4"/>
      <c r="AH143" s="4"/>
      <c r="AI143" s="4"/>
      <c r="AJ143" s="4"/>
      <c r="AK143" s="4"/>
      <c r="AL143" s="4"/>
      <c r="AM143" s="4"/>
      <c r="AN143" s="4"/>
      <c r="AO143" s="4"/>
      <c r="AP143" s="4"/>
      <c r="AQ143" s="4"/>
      <c r="AR143" s="4"/>
    </row>
    <row r="144" spans="23:44" ht="12.75">
      <c r="W144" s="4"/>
      <c r="X144" s="4"/>
      <c r="Y144" s="4"/>
      <c r="Z144" s="4"/>
      <c r="AA144" s="4"/>
      <c r="AB144" s="4"/>
      <c r="AC144" s="4"/>
      <c r="AD144" s="4"/>
      <c r="AE144" s="4"/>
      <c r="AF144" s="4"/>
      <c r="AG144" s="4"/>
      <c r="AH144" s="4"/>
      <c r="AI144" s="4"/>
      <c r="AJ144" s="4"/>
      <c r="AK144" s="4"/>
      <c r="AL144" s="4"/>
      <c r="AM144" s="4"/>
      <c r="AN144" s="4"/>
      <c r="AO144" s="4"/>
      <c r="AP144" s="4"/>
      <c r="AQ144" s="4"/>
      <c r="AR144" s="4"/>
    </row>
    <row r="145" spans="23:44" ht="12.75">
      <c r="W145" s="4"/>
      <c r="X145" s="4"/>
      <c r="Y145" s="4"/>
      <c r="Z145" s="4"/>
      <c r="AA145" s="4"/>
      <c r="AB145" s="4"/>
      <c r="AC145" s="4"/>
      <c r="AD145" s="4"/>
      <c r="AE145" s="4"/>
      <c r="AF145" s="4"/>
      <c r="AG145" s="4"/>
      <c r="AH145" s="4"/>
      <c r="AI145" s="4"/>
      <c r="AJ145" s="4"/>
      <c r="AK145" s="4"/>
      <c r="AL145" s="4"/>
      <c r="AM145" s="4"/>
      <c r="AN145" s="4"/>
      <c r="AO145" s="4"/>
      <c r="AP145" s="4"/>
      <c r="AQ145" s="4"/>
      <c r="AR145" s="4"/>
    </row>
    <row r="146" spans="23:44" ht="12.75">
      <c r="W146" s="4"/>
      <c r="X146" s="4"/>
      <c r="Y146" s="4"/>
      <c r="Z146" s="4"/>
      <c r="AA146" s="4"/>
      <c r="AB146" s="4"/>
      <c r="AC146" s="4"/>
      <c r="AD146" s="4"/>
      <c r="AE146" s="4"/>
      <c r="AF146" s="4"/>
      <c r="AG146" s="4"/>
      <c r="AH146" s="4"/>
      <c r="AI146" s="4"/>
      <c r="AJ146" s="4"/>
      <c r="AK146" s="4"/>
      <c r="AL146" s="4"/>
      <c r="AM146" s="4"/>
      <c r="AN146" s="4"/>
      <c r="AO146" s="4"/>
      <c r="AP146" s="4"/>
      <c r="AQ146" s="4"/>
      <c r="AR146" s="4"/>
    </row>
    <row r="147" spans="23:44" ht="12.75">
      <c r="W147" s="4"/>
      <c r="X147" s="4"/>
      <c r="Y147" s="4"/>
      <c r="Z147" s="4"/>
      <c r="AA147" s="4"/>
      <c r="AB147" s="4"/>
      <c r="AC147" s="4"/>
      <c r="AD147" s="4"/>
      <c r="AE147" s="4"/>
      <c r="AF147" s="4"/>
      <c r="AG147" s="4"/>
      <c r="AH147" s="4"/>
      <c r="AI147" s="4"/>
      <c r="AJ147" s="4"/>
      <c r="AK147" s="4"/>
      <c r="AL147" s="4"/>
      <c r="AM147" s="4"/>
      <c r="AN147" s="4"/>
      <c r="AO147" s="4"/>
      <c r="AP147" s="4"/>
      <c r="AQ147" s="4"/>
      <c r="AR147" s="4"/>
    </row>
    <row r="148" spans="23:44" ht="12.75">
      <c r="W148" s="4"/>
      <c r="X148" s="4"/>
      <c r="Y148" s="4"/>
      <c r="Z148" s="4"/>
      <c r="AA148" s="4"/>
      <c r="AB148" s="4"/>
      <c r="AC148" s="4"/>
      <c r="AD148" s="4"/>
      <c r="AE148" s="4"/>
      <c r="AF148" s="4"/>
      <c r="AG148" s="4"/>
      <c r="AH148" s="4"/>
      <c r="AI148" s="4"/>
      <c r="AJ148" s="4"/>
      <c r="AK148" s="4"/>
      <c r="AL148" s="4"/>
      <c r="AM148" s="4"/>
      <c r="AN148" s="4"/>
      <c r="AO148" s="4"/>
      <c r="AP148" s="4"/>
      <c r="AQ148" s="4"/>
      <c r="AR148" s="4"/>
    </row>
    <row r="149" spans="23:44" ht="12.75">
      <c r="W149" s="4"/>
      <c r="X149" s="4"/>
      <c r="Y149" s="4"/>
      <c r="Z149" s="4"/>
      <c r="AA149" s="4"/>
      <c r="AB149" s="4"/>
      <c r="AC149" s="4"/>
      <c r="AD149" s="4"/>
      <c r="AE149" s="4"/>
      <c r="AF149" s="4"/>
      <c r="AG149" s="4"/>
      <c r="AH149" s="4"/>
      <c r="AI149" s="4"/>
      <c r="AJ149" s="4"/>
      <c r="AK149" s="4"/>
      <c r="AL149" s="4"/>
      <c r="AM149" s="4"/>
      <c r="AN149" s="4"/>
      <c r="AO149" s="4"/>
      <c r="AP149" s="4"/>
      <c r="AQ149" s="4"/>
      <c r="AR149" s="4"/>
    </row>
    <row r="150" spans="23:44" ht="12.75">
      <c r="W150" s="4"/>
      <c r="X150" s="4"/>
      <c r="Y150" s="4"/>
      <c r="Z150" s="4"/>
      <c r="AA150" s="4"/>
      <c r="AB150" s="4"/>
      <c r="AC150" s="4"/>
      <c r="AD150" s="4"/>
      <c r="AE150" s="4"/>
      <c r="AF150" s="4"/>
      <c r="AG150" s="4"/>
      <c r="AH150" s="4"/>
      <c r="AI150" s="4"/>
      <c r="AJ150" s="4"/>
      <c r="AK150" s="4"/>
      <c r="AL150" s="4"/>
      <c r="AM150" s="4"/>
      <c r="AN150" s="4"/>
      <c r="AO150" s="4"/>
      <c r="AP150" s="4"/>
      <c r="AQ150" s="4"/>
      <c r="AR150" s="4"/>
    </row>
  </sheetData>
  <mergeCells count="5">
    <mergeCell ref="B1:E1"/>
    <mergeCell ref="B13:E13"/>
    <mergeCell ref="B10:D10"/>
    <mergeCell ref="B11:C11"/>
    <mergeCell ref="B12:C12"/>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A1:U67"/>
  <sheetViews>
    <sheetView workbookViewId="0" topLeftCell="A1">
      <selection activeCell="H6" sqref="H6"/>
    </sheetView>
  </sheetViews>
  <sheetFormatPr defaultColWidth="9.140625" defaultRowHeight="12.75"/>
  <cols>
    <col min="4" max="4" width="12.57421875" style="0" bestFit="1" customWidth="1"/>
    <col min="6" max="6" width="10.57421875" style="0" bestFit="1" customWidth="1"/>
  </cols>
  <sheetData>
    <row r="1" spans="1:6" s="5" customFormat="1" ht="12.75">
      <c r="A1" s="76" t="s">
        <v>78</v>
      </c>
      <c r="B1" s="76"/>
      <c r="C1" s="76"/>
      <c r="D1" s="76"/>
      <c r="E1" s="76"/>
      <c r="F1" s="76"/>
    </row>
    <row r="2" spans="1:21" ht="12.75">
      <c r="A2" s="8" t="s">
        <v>0</v>
      </c>
      <c r="B2" s="8" t="s">
        <v>29</v>
      </c>
      <c r="C2" s="8" t="s">
        <v>30</v>
      </c>
      <c r="D2" s="8" t="s">
        <v>31</v>
      </c>
      <c r="E2" s="8" t="s">
        <v>33</v>
      </c>
      <c r="F2" s="8" t="s">
        <v>1</v>
      </c>
      <c r="G2" s="4"/>
      <c r="H2" s="4"/>
      <c r="I2" s="4"/>
      <c r="J2" s="4"/>
      <c r="K2" s="4"/>
      <c r="L2" s="4"/>
      <c r="M2" s="4"/>
      <c r="N2" s="4"/>
      <c r="O2" s="4"/>
      <c r="P2" s="4"/>
      <c r="Q2" s="4"/>
      <c r="R2" s="4"/>
      <c r="S2" s="4"/>
      <c r="T2" s="4"/>
      <c r="U2" s="4"/>
    </row>
    <row r="3" spans="1:21" ht="12.75">
      <c r="A3" s="52">
        <v>0</v>
      </c>
      <c r="B3" s="8"/>
      <c r="C3" s="8"/>
      <c r="D3" s="8"/>
      <c r="E3" s="8"/>
      <c r="F3" s="8">
        <f aca="true" t="shared" si="0" ref="F3:F23">20-0.75*A3</f>
        <v>20</v>
      </c>
      <c r="G3" s="67" t="s">
        <v>75</v>
      </c>
      <c r="H3" s="68"/>
      <c r="I3" s="4"/>
      <c r="J3" s="4"/>
      <c r="K3" s="4"/>
      <c r="L3" s="4"/>
      <c r="M3" s="4"/>
      <c r="N3" s="4"/>
      <c r="O3" s="4"/>
      <c r="P3" s="4"/>
      <c r="Q3" s="4"/>
      <c r="R3" s="4"/>
      <c r="S3" s="4"/>
      <c r="T3" s="4"/>
      <c r="U3" s="4"/>
    </row>
    <row r="4" spans="1:21" ht="12.75">
      <c r="A4" s="52">
        <f aca="true" t="shared" si="1" ref="A4:A23">A3+1.5</f>
        <v>1.5</v>
      </c>
      <c r="B4" s="32"/>
      <c r="C4" s="32"/>
      <c r="D4" s="32"/>
      <c r="E4" s="32">
        <f aca="true" t="shared" si="2" ref="E4:E23">(((H$9/H$7)^-H$6-H$8*A4^-H$6)/(1-H$8))^-(1/H$6)</f>
        <v>19.80462938649696</v>
      </c>
      <c r="F4" s="8">
        <f t="shared" si="0"/>
        <v>18.875</v>
      </c>
      <c r="G4" s="65" t="s">
        <v>52</v>
      </c>
      <c r="H4" s="75"/>
      <c r="I4" s="4"/>
      <c r="J4" s="4"/>
      <c r="K4" s="4"/>
      <c r="L4" s="4"/>
      <c r="M4" s="4"/>
      <c r="N4" s="4"/>
      <c r="O4" s="4"/>
      <c r="P4" s="4"/>
      <c r="Q4" s="4"/>
      <c r="R4" s="4"/>
      <c r="S4" s="4"/>
      <c r="T4" s="4"/>
      <c r="U4" s="4"/>
    </row>
    <row r="5" spans="1:21" ht="12.75">
      <c r="A5" s="52">
        <f t="shared" si="1"/>
        <v>3</v>
      </c>
      <c r="B5" s="32">
        <f aca="true" t="shared" si="3" ref="B5:B23">(H$7)*($H$8*$A5^-$H$6+(1-$H$8)*$B$24^-$H$6)^-(1/$H$6)</f>
        <v>114.07869678371344</v>
      </c>
      <c r="C5" s="32">
        <f aca="true" t="shared" si="4" ref="C5:C23">($H$7)*($H$8*$A5^-$H$6+(1-$H$8)*$B$25^-$H$6)^-(1/$H$6)</f>
        <v>243.98044099718217</v>
      </c>
      <c r="D5" s="32">
        <f aca="true" t="shared" si="5" ref="D5:D23">($H$7)*($H$8*$A5^-$H$6+(1-$H$8)*$B$26^-$H$6)^-(1/$H$6)</f>
        <v>285.7023364386783</v>
      </c>
      <c r="E5" s="32">
        <f t="shared" si="2"/>
        <v>16.923579028327975</v>
      </c>
      <c r="F5" s="8">
        <f t="shared" si="0"/>
        <v>17.75</v>
      </c>
      <c r="G5" s="8" t="s">
        <v>23</v>
      </c>
      <c r="H5" s="8">
        <v>2.01</v>
      </c>
      <c r="I5" s="4"/>
      <c r="J5" s="4"/>
      <c r="K5" s="4"/>
      <c r="L5" s="4"/>
      <c r="M5" s="4"/>
      <c r="N5" s="4"/>
      <c r="O5" s="4"/>
      <c r="P5" s="4"/>
      <c r="Q5" s="4"/>
      <c r="R5" s="4"/>
      <c r="S5" s="4"/>
      <c r="T5" s="4"/>
      <c r="U5" s="4"/>
    </row>
    <row r="6" spans="1:21" ht="12.75">
      <c r="A6" s="52">
        <f t="shared" si="1"/>
        <v>4.5</v>
      </c>
      <c r="B6" s="32">
        <f t="shared" si="3"/>
        <v>124.80736347452067</v>
      </c>
      <c r="C6" s="32">
        <f t="shared" si="4"/>
        <v>259.5295783335273</v>
      </c>
      <c r="D6" s="32">
        <f t="shared" si="5"/>
        <v>302.50220599741306</v>
      </c>
      <c r="E6" s="32">
        <f t="shared" si="2"/>
        <v>14.86297701693305</v>
      </c>
      <c r="F6" s="8">
        <f t="shared" si="0"/>
        <v>16.625</v>
      </c>
      <c r="G6" s="8" t="s">
        <v>24</v>
      </c>
      <c r="H6" s="32">
        <f>(1-H5)/H5</f>
        <v>-0.5024875621890547</v>
      </c>
      <c r="I6" s="4"/>
      <c r="J6" s="4"/>
      <c r="K6" s="4"/>
      <c r="L6" s="4"/>
      <c r="M6" s="4"/>
      <c r="N6" s="4"/>
      <c r="O6" s="4"/>
      <c r="P6" s="4"/>
      <c r="Q6" s="4"/>
      <c r="R6" s="4"/>
      <c r="S6" s="4"/>
      <c r="T6" s="4"/>
      <c r="U6" s="4"/>
    </row>
    <row r="7" spans="1:21" ht="12.75">
      <c r="A7" s="52">
        <f t="shared" si="1"/>
        <v>6</v>
      </c>
      <c r="B7" s="32">
        <f t="shared" si="3"/>
        <v>134.23281652409213</v>
      </c>
      <c r="C7" s="32">
        <f t="shared" si="4"/>
        <v>273.02098755777234</v>
      </c>
      <c r="D7" s="32">
        <f t="shared" si="5"/>
        <v>317.048648056326</v>
      </c>
      <c r="E7" s="32">
        <f t="shared" si="2"/>
        <v>13.227853247416334</v>
      </c>
      <c r="F7" s="8">
        <f t="shared" si="0"/>
        <v>15.5</v>
      </c>
      <c r="G7" s="8" t="s">
        <v>26</v>
      </c>
      <c r="H7" s="8">
        <f>TotalUtilityCurves!F26</f>
        <v>10</v>
      </c>
      <c r="I7" s="4"/>
      <c r="J7" s="4"/>
      <c r="K7" s="4"/>
      <c r="L7" s="4"/>
      <c r="M7" s="4"/>
      <c r="N7" s="4"/>
      <c r="O7" s="4"/>
      <c r="P7" s="4"/>
      <c r="Q7" s="4"/>
      <c r="R7" s="4"/>
      <c r="S7" s="4"/>
      <c r="T7" s="4"/>
      <c r="U7" s="4"/>
    </row>
    <row r="8" spans="1:21" ht="12.75">
      <c r="A8" s="52">
        <f t="shared" si="1"/>
        <v>7.5</v>
      </c>
      <c r="B8" s="32">
        <f t="shared" si="3"/>
        <v>142.82512664215554</v>
      </c>
      <c r="C8" s="32">
        <f t="shared" si="4"/>
        <v>285.19674195928366</v>
      </c>
      <c r="D8" s="32">
        <f t="shared" si="5"/>
        <v>330.1542826631471</v>
      </c>
      <c r="E8" s="32">
        <f t="shared" si="2"/>
        <v>11.865003147419229</v>
      </c>
      <c r="F8" s="8">
        <f t="shared" si="0"/>
        <v>14.375</v>
      </c>
      <c r="G8" s="8" t="s">
        <v>27</v>
      </c>
      <c r="H8" s="8">
        <f>TotalUtilityCurves!F27</f>
        <v>0.4</v>
      </c>
      <c r="I8" s="4"/>
      <c r="J8" s="4"/>
      <c r="K8" s="4"/>
      <c r="L8" s="4"/>
      <c r="M8" s="4"/>
      <c r="N8" s="4"/>
      <c r="O8" s="4"/>
      <c r="P8" s="4"/>
      <c r="Q8" s="4"/>
      <c r="R8" s="4"/>
      <c r="S8" s="4"/>
      <c r="T8" s="4"/>
      <c r="U8" s="4"/>
    </row>
    <row r="9" spans="1:21" ht="12.75">
      <c r="A9" s="52">
        <f t="shared" si="1"/>
        <v>9</v>
      </c>
      <c r="B9" s="32">
        <f t="shared" si="3"/>
        <v>150.82547687689538</v>
      </c>
      <c r="C9" s="32">
        <f t="shared" si="4"/>
        <v>296.4376168862745</v>
      </c>
      <c r="D9" s="32">
        <f t="shared" si="5"/>
        <v>342.23609035114004</v>
      </c>
      <c r="E9" s="32">
        <f t="shared" si="2"/>
        <v>10.695775277129526</v>
      </c>
      <c r="F9" s="8">
        <f t="shared" si="0"/>
        <v>13.25</v>
      </c>
      <c r="G9" s="34" t="s">
        <v>32</v>
      </c>
      <c r="H9" s="34">
        <v>100</v>
      </c>
      <c r="I9" s="4"/>
      <c r="J9" s="4"/>
      <c r="K9" s="4"/>
      <c r="L9" s="4"/>
      <c r="M9" s="4"/>
      <c r="N9" s="4"/>
      <c r="O9" s="4"/>
      <c r="P9" s="4"/>
      <c r="Q9" s="4"/>
      <c r="R9" s="4"/>
      <c r="S9" s="4"/>
      <c r="T9" s="4"/>
      <c r="U9" s="4"/>
    </row>
    <row r="10" spans="1:21" ht="12.75">
      <c r="A10" s="52">
        <f t="shared" si="1"/>
        <v>10.5</v>
      </c>
      <c r="B10" s="32">
        <f t="shared" si="3"/>
        <v>158.3771843040183</v>
      </c>
      <c r="C10" s="32">
        <f t="shared" si="4"/>
        <v>306.9698954294571</v>
      </c>
      <c r="D10" s="32">
        <f t="shared" si="5"/>
        <v>353.5418728369847</v>
      </c>
      <c r="E10" s="32">
        <f t="shared" si="2"/>
        <v>9.673409670748269</v>
      </c>
      <c r="F10" s="8">
        <f t="shared" si="0"/>
        <v>12.125</v>
      </c>
      <c r="G10" s="4"/>
      <c r="H10" s="4"/>
      <c r="I10" s="4"/>
      <c r="J10" s="4"/>
      <c r="K10" s="4"/>
      <c r="L10" s="4"/>
      <c r="M10" s="4"/>
      <c r="N10" s="4"/>
      <c r="O10" s="4"/>
      <c r="P10" s="4"/>
      <c r="Q10" s="4"/>
      <c r="R10" s="4"/>
      <c r="S10" s="4"/>
      <c r="T10" s="4"/>
      <c r="U10" s="4"/>
    </row>
    <row r="11" spans="1:21" ht="12.75">
      <c r="A11" s="52">
        <f t="shared" si="1"/>
        <v>12</v>
      </c>
      <c r="B11" s="32">
        <f t="shared" si="3"/>
        <v>165.57364948600457</v>
      </c>
      <c r="C11" s="32">
        <f t="shared" si="4"/>
        <v>316.9410570628862</v>
      </c>
      <c r="D11" s="32">
        <f t="shared" si="5"/>
        <v>364.2331360212151</v>
      </c>
      <c r="E11" s="32">
        <f t="shared" si="2"/>
        <v>8.767419089913812</v>
      </c>
      <c r="F11" s="8">
        <f t="shared" si="0"/>
        <v>11</v>
      </c>
      <c r="G11" s="4"/>
      <c r="H11" s="4"/>
      <c r="I11" s="4"/>
      <c r="J11" s="4"/>
      <c r="K11" s="4"/>
      <c r="L11" s="4"/>
      <c r="M11" s="4"/>
      <c r="N11" s="4"/>
      <c r="O11" s="4"/>
      <c r="P11" s="4"/>
      <c r="Q11" s="4"/>
      <c r="R11" s="4"/>
      <c r="S11" s="4"/>
      <c r="T11" s="4"/>
      <c r="U11" s="4"/>
    </row>
    <row r="12" spans="1:21" ht="12.75">
      <c r="A12" s="52">
        <f t="shared" si="1"/>
        <v>13.5</v>
      </c>
      <c r="B12" s="32">
        <f t="shared" si="3"/>
        <v>172.47976061646256</v>
      </c>
      <c r="C12" s="32">
        <f t="shared" si="4"/>
        <v>326.45356609911937</v>
      </c>
      <c r="D12" s="32">
        <f t="shared" si="5"/>
        <v>374.42209042356194</v>
      </c>
      <c r="E12" s="32">
        <f t="shared" si="2"/>
        <v>7.956614640351004</v>
      </c>
      <c r="F12" s="8">
        <f t="shared" si="0"/>
        <v>9.875</v>
      </c>
      <c r="G12" s="4"/>
      <c r="H12" s="4"/>
      <c r="I12" s="4"/>
      <c r="J12" s="4"/>
      <c r="K12" s="4"/>
      <c r="L12" s="4"/>
      <c r="M12" s="4"/>
      <c r="N12" s="4"/>
      <c r="O12" s="4"/>
      <c r="P12" s="4"/>
      <c r="Q12" s="4"/>
      <c r="R12" s="4"/>
      <c r="S12" s="4"/>
      <c r="T12" s="4"/>
      <c r="U12" s="4"/>
    </row>
    <row r="13" spans="1:21" ht="12.75">
      <c r="A13" s="52">
        <f t="shared" si="1"/>
        <v>15</v>
      </c>
      <c r="B13" s="32">
        <f t="shared" si="3"/>
        <v>179.14276952906016</v>
      </c>
      <c r="C13" s="32">
        <f t="shared" si="4"/>
        <v>335.5820413102304</v>
      </c>
      <c r="D13" s="32">
        <f t="shared" si="5"/>
        <v>384.19045311691957</v>
      </c>
      <c r="E13" s="32">
        <f t="shared" si="2"/>
        <v>7.2255608369207005</v>
      </c>
      <c r="F13" s="8">
        <f t="shared" si="0"/>
        <v>8.75</v>
      </c>
      <c r="G13" s="4"/>
      <c r="H13" s="4"/>
      <c r="I13" s="4"/>
      <c r="J13" s="4"/>
      <c r="K13" s="4"/>
      <c r="L13" s="4"/>
      <c r="M13" s="4"/>
      <c r="N13" s="4"/>
      <c r="O13" s="4"/>
      <c r="P13" s="4"/>
      <c r="Q13" s="4"/>
      <c r="R13" s="4"/>
      <c r="S13" s="4"/>
      <c r="T13" s="4"/>
      <c r="U13" s="4"/>
    </row>
    <row r="14" spans="1:21" ht="12.75">
      <c r="A14" s="52">
        <f t="shared" si="1"/>
        <v>16.5</v>
      </c>
      <c r="B14" s="32">
        <f t="shared" si="3"/>
        <v>185.59835205505158</v>
      </c>
      <c r="C14" s="32">
        <f t="shared" si="4"/>
        <v>344.38282363900674</v>
      </c>
      <c r="D14" s="32">
        <f t="shared" si="5"/>
        <v>393.5999251117563</v>
      </c>
      <c r="E14" s="32">
        <f t="shared" si="2"/>
        <v>6.5625997401420735</v>
      </c>
      <c r="F14" s="8">
        <f t="shared" si="0"/>
        <v>7.625</v>
      </c>
      <c r="G14" s="4"/>
      <c r="H14" s="4"/>
      <c r="I14" s="4"/>
      <c r="J14" s="4"/>
      <c r="K14" s="4"/>
      <c r="L14" s="4"/>
      <c r="M14" s="4"/>
      <c r="N14" s="4"/>
      <c r="O14" s="4"/>
      <c r="P14" s="4"/>
      <c r="Q14" s="4"/>
      <c r="R14" s="4"/>
      <c r="S14" s="4"/>
      <c r="T14" s="4"/>
      <c r="U14" s="4"/>
    </row>
    <row r="15" spans="1:21" ht="12.75">
      <c r="A15" s="52">
        <f t="shared" si="1"/>
        <v>18</v>
      </c>
      <c r="B15" s="32">
        <f t="shared" si="3"/>
        <v>191.87422775245903</v>
      </c>
      <c r="C15" s="32">
        <f t="shared" si="4"/>
        <v>352.8996910244432</v>
      </c>
      <c r="D15" s="32">
        <f t="shared" si="5"/>
        <v>402.69844957227605</v>
      </c>
      <c r="E15" s="32">
        <f t="shared" si="2"/>
        <v>5.958670509909324</v>
      </c>
      <c r="F15" s="8">
        <f t="shared" si="0"/>
        <v>6.5</v>
      </c>
      <c r="G15" s="4"/>
      <c r="H15" s="4"/>
      <c r="I15" s="4"/>
      <c r="J15" s="4"/>
      <c r="K15" s="4"/>
      <c r="L15" s="4"/>
      <c r="M15" s="4"/>
      <c r="N15" s="4"/>
      <c r="O15" s="4"/>
      <c r="P15" s="4"/>
      <c r="Q15" s="4"/>
      <c r="R15" s="4"/>
      <c r="S15" s="4"/>
      <c r="T15" s="4"/>
      <c r="U15" s="4"/>
    </row>
    <row r="16" spans="1:21" ht="12.75">
      <c r="A16" s="52">
        <f t="shared" si="1"/>
        <v>19.5</v>
      </c>
      <c r="B16" s="32">
        <f t="shared" si="3"/>
        <v>197.99244257827246</v>
      </c>
      <c r="C16" s="32">
        <f t="shared" si="4"/>
        <v>361.167462413934</v>
      </c>
      <c r="D16" s="32">
        <f t="shared" si="5"/>
        <v>411.52415853726257</v>
      </c>
      <c r="E16" s="32">
        <f t="shared" si="2"/>
        <v>5.406564813974746</v>
      </c>
      <c r="F16" s="8">
        <f t="shared" si="0"/>
        <v>5.375</v>
      </c>
      <c r="G16" s="4"/>
      <c r="H16" s="4"/>
      <c r="I16" s="4"/>
      <c r="J16" s="4"/>
      <c r="K16" s="4"/>
      <c r="L16" s="4"/>
      <c r="M16" s="4"/>
      <c r="N16" s="4"/>
      <c r="O16" s="4"/>
      <c r="P16" s="4"/>
      <c r="Q16" s="4"/>
      <c r="R16" s="4"/>
      <c r="S16" s="4"/>
      <c r="T16" s="4"/>
      <c r="U16" s="4"/>
    </row>
    <row r="17" spans="1:21" ht="12.75">
      <c r="A17" s="52">
        <f t="shared" si="1"/>
        <v>21</v>
      </c>
      <c r="B17" s="32">
        <f t="shared" si="3"/>
        <v>203.97087275607043</v>
      </c>
      <c r="C17" s="32">
        <f t="shared" si="4"/>
        <v>369.2143722353061</v>
      </c>
      <c r="D17" s="32">
        <f t="shared" si="5"/>
        <v>420.1079731971401</v>
      </c>
      <c r="E17" s="32">
        <f t="shared" si="2"/>
        <v>4.900436166026383</v>
      </c>
      <c r="F17" s="8">
        <f t="shared" si="0"/>
        <v>4.25</v>
      </c>
      <c r="G17" s="4"/>
      <c r="H17" s="4"/>
      <c r="I17" s="4"/>
      <c r="J17" s="4"/>
      <c r="K17" s="4"/>
      <c r="L17" s="4"/>
      <c r="M17" s="4"/>
      <c r="N17" s="4"/>
      <c r="O17" s="4"/>
      <c r="P17" s="4"/>
      <c r="Q17" s="4"/>
      <c r="R17" s="4"/>
      <c r="S17" s="4"/>
      <c r="T17" s="4"/>
      <c r="U17" s="4"/>
    </row>
    <row r="18" spans="1:21" ht="12.75">
      <c r="A18" s="52">
        <f t="shared" si="1"/>
        <v>22.5</v>
      </c>
      <c r="B18" s="32">
        <f t="shared" si="3"/>
        <v>209.82425190450644</v>
      </c>
      <c r="C18" s="32">
        <f t="shared" si="4"/>
        <v>377.0636921922385</v>
      </c>
      <c r="D18" s="32">
        <f t="shared" si="5"/>
        <v>428.4753799264666</v>
      </c>
      <c r="E18" s="32">
        <f t="shared" si="2"/>
        <v>4.435464736432516</v>
      </c>
      <c r="F18" s="8">
        <f t="shared" si="0"/>
        <v>3.125</v>
      </c>
      <c r="G18" s="4"/>
      <c r="H18" s="4"/>
      <c r="I18" s="4"/>
      <c r="J18" s="4"/>
      <c r="K18" s="4"/>
      <c r="L18" s="4"/>
      <c r="M18" s="4"/>
      <c r="N18" s="4"/>
      <c r="O18" s="4"/>
      <c r="P18" s="4"/>
      <c r="Q18" s="4"/>
      <c r="R18" s="4"/>
      <c r="S18" s="4"/>
      <c r="T18" s="4"/>
      <c r="U18" s="4"/>
    </row>
    <row r="19" spans="1:21" ht="12.75">
      <c r="A19" s="52">
        <f t="shared" si="1"/>
        <v>24</v>
      </c>
      <c r="B19" s="32">
        <f t="shared" si="3"/>
        <v>215.56489408184643</v>
      </c>
      <c r="C19" s="32">
        <f t="shared" si="4"/>
        <v>384.7348729574555</v>
      </c>
      <c r="D19" s="32">
        <f t="shared" si="5"/>
        <v>436.64768056138473</v>
      </c>
      <c r="E19" s="32">
        <f t="shared" si="2"/>
        <v>4.007621349257738</v>
      </c>
      <c r="F19" s="8">
        <f t="shared" si="0"/>
        <v>2</v>
      </c>
      <c r="G19" s="4"/>
      <c r="H19" s="4"/>
      <c r="I19" s="4"/>
      <c r="J19" s="4"/>
      <c r="K19" s="4"/>
      <c r="L19" s="4"/>
      <c r="M19" s="4"/>
      <c r="N19" s="4"/>
      <c r="O19" s="4"/>
      <c r="P19" s="4"/>
      <c r="Q19" s="4"/>
      <c r="R19" s="4"/>
      <c r="S19" s="4"/>
      <c r="T19" s="4"/>
      <c r="U19" s="4"/>
    </row>
    <row r="20" spans="1:21" ht="12.75">
      <c r="A20" s="52">
        <f t="shared" si="1"/>
        <v>25.5</v>
      </c>
      <c r="B20" s="32">
        <f t="shared" si="3"/>
        <v>221.20321603587405</v>
      </c>
      <c r="C20" s="32">
        <f t="shared" si="4"/>
        <v>392.24436883308186</v>
      </c>
      <c r="D20" s="32">
        <f t="shared" si="5"/>
        <v>444.64289549610606</v>
      </c>
      <c r="E20" s="32">
        <f t="shared" si="2"/>
        <v>3.613496986966574</v>
      </c>
      <c r="F20" s="8">
        <f t="shared" si="0"/>
        <v>0.875</v>
      </c>
      <c r="G20" s="4"/>
      <c r="H20" s="4"/>
      <c r="I20" s="4"/>
      <c r="J20" s="4"/>
      <c r="K20" s="4"/>
      <c r="L20" s="4"/>
      <c r="M20" s="4"/>
      <c r="N20" s="4"/>
      <c r="O20" s="4"/>
      <c r="P20" s="4"/>
      <c r="Q20" s="4"/>
      <c r="R20" s="4"/>
      <c r="S20" s="4"/>
      <c r="T20" s="4"/>
      <c r="U20" s="4"/>
    </row>
    <row r="21" spans="1:21" ht="12.75">
      <c r="A21" s="52">
        <f t="shared" si="1"/>
        <v>27</v>
      </c>
      <c r="B21" s="32">
        <f t="shared" si="3"/>
        <v>226.74812287962675</v>
      </c>
      <c r="C21" s="32">
        <f t="shared" si="4"/>
        <v>399.60624676964363</v>
      </c>
      <c r="D21" s="32">
        <f t="shared" si="5"/>
        <v>452.4764306306861</v>
      </c>
      <c r="E21" s="32">
        <f t="shared" si="2"/>
        <v>3.250176859631253</v>
      </c>
      <c r="F21" s="8">
        <f t="shared" si="0"/>
        <v>-0.25</v>
      </c>
      <c r="G21" s="4"/>
      <c r="H21" s="4"/>
      <c r="I21" s="4"/>
      <c r="J21" s="4"/>
      <c r="K21" s="4"/>
      <c r="L21" s="4"/>
      <c r="M21" s="4"/>
      <c r="N21" s="4"/>
      <c r="O21" s="4"/>
      <c r="P21" s="4"/>
      <c r="Q21" s="4"/>
      <c r="R21" s="4"/>
      <c r="S21" s="4"/>
      <c r="T21" s="4"/>
      <c r="U21" s="4"/>
    </row>
    <row r="22" spans="1:21" ht="12.75">
      <c r="A22" s="52">
        <f t="shared" si="1"/>
        <v>28.5</v>
      </c>
      <c r="B22" s="32">
        <f t="shared" si="3"/>
        <v>232.20729846425462</v>
      </c>
      <c r="C22" s="32">
        <f t="shared" si="4"/>
        <v>406.83264490454746</v>
      </c>
      <c r="D22" s="32">
        <f t="shared" si="5"/>
        <v>460.16157952700735</v>
      </c>
      <c r="E22" s="32">
        <f t="shared" si="2"/>
        <v>2.915145577423649</v>
      </c>
      <c r="F22" s="8">
        <f t="shared" si="0"/>
        <v>-1.375</v>
      </c>
      <c r="G22" s="4"/>
      <c r="H22" s="4"/>
      <c r="I22" s="4"/>
      <c r="J22" s="4"/>
      <c r="K22" s="4"/>
      <c r="L22" s="4"/>
      <c r="M22" s="4"/>
      <c r="N22" s="4"/>
      <c r="O22" s="4"/>
      <c r="P22" s="4"/>
      <c r="Q22" s="4"/>
      <c r="R22" s="4"/>
      <c r="S22" s="4"/>
      <c r="T22" s="4"/>
      <c r="U22" s="4"/>
    </row>
    <row r="23" spans="1:21" ht="12.75">
      <c r="A23" s="52">
        <f t="shared" si="1"/>
        <v>30</v>
      </c>
      <c r="B23" s="32">
        <f t="shared" si="3"/>
        <v>237.5874277436863</v>
      </c>
      <c r="C23" s="32">
        <f t="shared" si="4"/>
        <v>413.93412371501165</v>
      </c>
      <c r="D23" s="32">
        <f t="shared" si="5"/>
        <v>467.70990796598056</v>
      </c>
      <c r="E23" s="32">
        <f t="shared" si="2"/>
        <v>2.606214522554084</v>
      </c>
      <c r="F23" s="8">
        <f t="shared" si="0"/>
        <v>-2.5</v>
      </c>
      <c r="G23" s="4"/>
      <c r="H23" s="4"/>
      <c r="I23" s="4"/>
      <c r="J23" s="4"/>
      <c r="K23" s="4"/>
      <c r="L23" s="4"/>
      <c r="M23" s="4"/>
      <c r="N23" s="4"/>
      <c r="O23" s="4"/>
      <c r="P23" s="4"/>
      <c r="Q23" s="4"/>
      <c r="R23" s="4"/>
      <c r="S23" s="4"/>
      <c r="T23" s="4"/>
      <c r="U23" s="4"/>
    </row>
    <row r="24" spans="1:21" ht="12.75">
      <c r="A24" s="8" t="s">
        <v>10</v>
      </c>
      <c r="B24" s="8">
        <v>20</v>
      </c>
      <c r="C24" s="5"/>
      <c r="D24" s="5"/>
      <c r="E24" s="5"/>
      <c r="F24" s="5"/>
      <c r="G24" s="4"/>
      <c r="H24" s="4"/>
      <c r="I24" s="4"/>
      <c r="J24" s="4"/>
      <c r="K24" s="4"/>
      <c r="L24" s="4"/>
      <c r="M24" s="4"/>
      <c r="N24" s="4"/>
      <c r="O24" s="4"/>
      <c r="P24" s="4"/>
      <c r="Q24" s="4"/>
      <c r="R24" s="4"/>
      <c r="S24" s="4"/>
      <c r="T24" s="4"/>
      <c r="U24" s="4"/>
    </row>
    <row r="25" spans="1:21" ht="12.75">
      <c r="A25" s="8" t="s">
        <v>11</v>
      </c>
      <c r="B25" s="8">
        <v>50</v>
      </c>
      <c r="C25" s="5"/>
      <c r="D25" s="5"/>
      <c r="E25" s="5"/>
      <c r="F25" s="5"/>
      <c r="G25" s="4"/>
      <c r="H25" s="4"/>
      <c r="I25" s="4"/>
      <c r="J25" s="4"/>
      <c r="K25" s="4"/>
      <c r="L25" s="4"/>
      <c r="M25" s="4"/>
      <c r="N25" s="4"/>
      <c r="O25" s="4"/>
      <c r="P25" s="4"/>
      <c r="Q25" s="4"/>
      <c r="R25" s="4"/>
      <c r="S25" s="4"/>
      <c r="T25" s="4"/>
      <c r="U25" s="4"/>
    </row>
    <row r="26" spans="1:21" ht="12.75">
      <c r="A26" s="8" t="s">
        <v>28</v>
      </c>
      <c r="B26" s="8">
        <v>60</v>
      </c>
      <c r="C26" s="5"/>
      <c r="D26" s="5"/>
      <c r="E26" s="5"/>
      <c r="F26" s="5"/>
      <c r="G26" s="4"/>
      <c r="H26" s="4"/>
      <c r="I26" s="4"/>
      <c r="J26" s="4"/>
      <c r="K26" s="4"/>
      <c r="L26" s="4"/>
      <c r="M26" s="4"/>
      <c r="N26" s="4"/>
      <c r="O26" s="4"/>
      <c r="P26" s="4"/>
      <c r="Q26" s="4"/>
      <c r="R26" s="4"/>
      <c r="S26" s="4"/>
      <c r="T26" s="4"/>
      <c r="U26" s="4"/>
    </row>
    <row r="27" spans="1:21" ht="12.75">
      <c r="A27" s="5"/>
      <c r="B27" s="5"/>
      <c r="C27" s="5"/>
      <c r="D27" s="5"/>
      <c r="E27" s="5"/>
      <c r="F27" s="5"/>
      <c r="G27" s="4"/>
      <c r="H27" s="4"/>
      <c r="I27" s="4"/>
      <c r="J27" s="4"/>
      <c r="K27" s="4"/>
      <c r="L27" s="4"/>
      <c r="M27" s="4"/>
      <c r="N27" s="4"/>
      <c r="O27" s="4"/>
      <c r="P27" s="4"/>
      <c r="Q27" s="4"/>
      <c r="R27" s="4"/>
      <c r="S27" s="4"/>
      <c r="T27" s="4"/>
      <c r="U27" s="4"/>
    </row>
    <row r="28" spans="1:21" ht="12.75">
      <c r="A28" s="5"/>
      <c r="B28" s="5"/>
      <c r="C28" s="5"/>
      <c r="D28" s="5"/>
      <c r="E28" s="5"/>
      <c r="F28" s="5"/>
      <c r="G28" s="4"/>
      <c r="H28" s="4"/>
      <c r="I28" s="4"/>
      <c r="J28" s="4"/>
      <c r="K28" s="4"/>
      <c r="L28" s="4"/>
      <c r="M28" s="4"/>
      <c r="N28" s="4"/>
      <c r="O28" s="4"/>
      <c r="P28" s="4"/>
      <c r="Q28" s="4"/>
      <c r="R28" s="4"/>
      <c r="S28" s="4"/>
      <c r="T28" s="4"/>
      <c r="U28" s="4"/>
    </row>
    <row r="29" spans="1:21" ht="12.75">
      <c r="A29" s="5"/>
      <c r="B29" s="5"/>
      <c r="C29" s="5"/>
      <c r="D29" s="5"/>
      <c r="E29" s="5"/>
      <c r="F29" s="5"/>
      <c r="G29" s="4"/>
      <c r="H29" s="4"/>
      <c r="I29" s="4"/>
      <c r="J29" s="4"/>
      <c r="K29" s="4"/>
      <c r="L29" s="4"/>
      <c r="M29" s="4"/>
      <c r="N29" s="4"/>
      <c r="O29" s="4"/>
      <c r="P29" s="4"/>
      <c r="Q29" s="4"/>
      <c r="R29" s="4"/>
      <c r="S29" s="4"/>
      <c r="T29" s="4"/>
      <c r="U29" s="4"/>
    </row>
    <row r="30" spans="1:21" ht="12.75">
      <c r="A30" s="5"/>
      <c r="B30" s="5"/>
      <c r="C30" s="5"/>
      <c r="D30" s="5"/>
      <c r="E30" s="5"/>
      <c r="F30" s="5"/>
      <c r="G30" s="4"/>
      <c r="H30" s="4"/>
      <c r="I30" s="4"/>
      <c r="J30" s="4"/>
      <c r="K30" s="4"/>
      <c r="L30" s="4"/>
      <c r="M30" s="4"/>
      <c r="N30" s="4"/>
      <c r="O30" s="4"/>
      <c r="P30" s="4"/>
      <c r="Q30" s="4"/>
      <c r="R30" s="4"/>
      <c r="S30" s="4"/>
      <c r="T30" s="4"/>
      <c r="U30" s="4"/>
    </row>
    <row r="31" spans="1:21" ht="12.75">
      <c r="A31" s="5"/>
      <c r="B31" s="5"/>
      <c r="C31" s="5"/>
      <c r="D31" s="5"/>
      <c r="E31" s="5"/>
      <c r="F31" s="5"/>
      <c r="G31" s="4"/>
      <c r="H31" s="4"/>
      <c r="I31" s="4"/>
      <c r="J31" s="4"/>
      <c r="K31" s="4"/>
      <c r="L31" s="4"/>
      <c r="M31" s="4"/>
      <c r="N31" s="4"/>
      <c r="O31" s="4"/>
      <c r="P31" s="4"/>
      <c r="Q31" s="4"/>
      <c r="R31" s="4"/>
      <c r="S31" s="4"/>
      <c r="T31" s="4"/>
      <c r="U31" s="4"/>
    </row>
    <row r="32" spans="1:21" ht="12.75">
      <c r="A32" s="4"/>
      <c r="B32" s="4"/>
      <c r="C32" s="4"/>
      <c r="D32" s="4"/>
      <c r="E32" s="4"/>
      <c r="F32" s="4"/>
      <c r="G32" s="4"/>
      <c r="H32" s="4"/>
      <c r="I32" s="4"/>
      <c r="J32" s="4"/>
      <c r="K32" s="4"/>
      <c r="L32" s="4"/>
      <c r="M32" s="4"/>
      <c r="N32" s="4"/>
      <c r="O32" s="4"/>
      <c r="P32" s="4"/>
      <c r="Q32" s="4"/>
      <c r="R32" s="4"/>
      <c r="S32" s="4"/>
      <c r="T32" s="4"/>
      <c r="U32" s="4"/>
    </row>
    <row r="33" spans="1:21" ht="12.75">
      <c r="A33" s="4"/>
      <c r="B33" s="4"/>
      <c r="C33" s="4"/>
      <c r="D33" s="4"/>
      <c r="E33" s="4"/>
      <c r="F33" s="4"/>
      <c r="G33" s="4"/>
      <c r="H33" s="4"/>
      <c r="I33" s="4"/>
      <c r="J33" s="4"/>
      <c r="K33" s="4"/>
      <c r="L33" s="4"/>
      <c r="M33" s="4"/>
      <c r="N33" s="4"/>
      <c r="O33" s="4"/>
      <c r="P33" s="4"/>
      <c r="Q33" s="4"/>
      <c r="R33" s="4"/>
      <c r="S33" s="4"/>
      <c r="T33" s="4"/>
      <c r="U33" s="4"/>
    </row>
    <row r="34" spans="1:21" ht="12.75">
      <c r="A34" s="4"/>
      <c r="B34" s="4"/>
      <c r="C34" s="4"/>
      <c r="D34" s="4"/>
      <c r="E34" s="4"/>
      <c r="F34" s="4"/>
      <c r="G34" s="4"/>
      <c r="H34" s="4"/>
      <c r="I34" s="4"/>
      <c r="J34" s="4"/>
      <c r="K34" s="4"/>
      <c r="L34" s="4"/>
      <c r="M34" s="4"/>
      <c r="N34" s="4"/>
      <c r="O34" s="4"/>
      <c r="P34" s="4"/>
      <c r="Q34" s="4"/>
      <c r="R34" s="4"/>
      <c r="S34" s="4"/>
      <c r="T34" s="4"/>
      <c r="U34" s="4"/>
    </row>
    <row r="35" spans="1:21" ht="12.75">
      <c r="A35" s="4"/>
      <c r="B35" s="4"/>
      <c r="C35" s="4"/>
      <c r="D35" s="4"/>
      <c r="E35" s="4"/>
      <c r="F35" s="4"/>
      <c r="G35" s="4"/>
      <c r="H35" s="4"/>
      <c r="I35" s="4"/>
      <c r="J35" s="4"/>
      <c r="K35" s="4"/>
      <c r="L35" s="4"/>
      <c r="M35" s="4"/>
      <c r="N35" s="4"/>
      <c r="O35" s="4"/>
      <c r="P35" s="4"/>
      <c r="Q35" s="4"/>
      <c r="R35" s="4"/>
      <c r="S35" s="4"/>
      <c r="T35" s="4"/>
      <c r="U35" s="4"/>
    </row>
    <row r="36" spans="1:21" ht="12.75">
      <c r="A36" s="4"/>
      <c r="B36" s="4"/>
      <c r="C36" s="4"/>
      <c r="D36" s="4"/>
      <c r="E36" s="4"/>
      <c r="F36" s="4"/>
      <c r="G36" s="4"/>
      <c r="H36" s="4"/>
      <c r="I36" s="4"/>
      <c r="J36" s="4"/>
      <c r="K36" s="4"/>
      <c r="L36" s="4"/>
      <c r="M36" s="4"/>
      <c r="N36" s="4"/>
      <c r="O36" s="4"/>
      <c r="P36" s="4"/>
      <c r="Q36" s="4"/>
      <c r="R36" s="4"/>
      <c r="S36" s="4"/>
      <c r="T36" s="4"/>
      <c r="U36" s="4"/>
    </row>
    <row r="37" spans="1:21" ht="12.75">
      <c r="A37" s="4"/>
      <c r="B37" s="4"/>
      <c r="C37" s="4"/>
      <c r="D37" s="4"/>
      <c r="E37" s="4"/>
      <c r="F37" s="4"/>
      <c r="G37" s="4"/>
      <c r="H37" s="4"/>
      <c r="I37" s="4"/>
      <c r="J37" s="4"/>
      <c r="K37" s="4"/>
      <c r="L37" s="4"/>
      <c r="M37" s="4"/>
      <c r="N37" s="4"/>
      <c r="O37" s="4"/>
      <c r="P37" s="4"/>
      <c r="Q37" s="4"/>
      <c r="R37" s="4"/>
      <c r="S37" s="4"/>
      <c r="T37" s="4"/>
      <c r="U37" s="4"/>
    </row>
    <row r="38" spans="1:21" ht="12.75">
      <c r="A38" s="4"/>
      <c r="B38" s="4"/>
      <c r="C38" s="4"/>
      <c r="D38" s="4"/>
      <c r="E38" s="4"/>
      <c r="F38" s="4"/>
      <c r="G38" s="4"/>
      <c r="H38" s="4"/>
      <c r="I38" s="4"/>
      <c r="J38" s="4"/>
      <c r="K38" s="4"/>
      <c r="L38" s="4"/>
      <c r="M38" s="4"/>
      <c r="N38" s="4"/>
      <c r="O38" s="4"/>
      <c r="P38" s="4"/>
      <c r="Q38" s="4"/>
      <c r="R38" s="4"/>
      <c r="S38" s="4"/>
      <c r="T38" s="4"/>
      <c r="U38" s="4"/>
    </row>
    <row r="39" spans="1:21" ht="12.75">
      <c r="A39" s="4"/>
      <c r="B39" s="4"/>
      <c r="C39" s="4"/>
      <c r="D39" s="4"/>
      <c r="E39" s="4"/>
      <c r="F39" s="4"/>
      <c r="G39" s="4"/>
      <c r="H39" s="4"/>
      <c r="I39" s="4"/>
      <c r="J39" s="4"/>
      <c r="K39" s="4"/>
      <c r="L39" s="4"/>
      <c r="M39" s="4"/>
      <c r="N39" s="4"/>
      <c r="O39" s="4"/>
      <c r="P39" s="4"/>
      <c r="Q39" s="4"/>
      <c r="R39" s="4"/>
      <c r="S39" s="4"/>
      <c r="T39" s="4"/>
      <c r="U39" s="4"/>
    </row>
    <row r="40" spans="1:21" ht="12.75">
      <c r="A40" s="4"/>
      <c r="B40" s="4"/>
      <c r="C40" s="4"/>
      <c r="D40" s="4"/>
      <c r="E40" s="4"/>
      <c r="F40" s="4"/>
      <c r="G40" s="4"/>
      <c r="H40" s="4"/>
      <c r="I40" s="4"/>
      <c r="J40" s="4"/>
      <c r="K40" s="4"/>
      <c r="L40" s="4"/>
      <c r="M40" s="4"/>
      <c r="N40" s="4"/>
      <c r="O40" s="4"/>
      <c r="P40" s="4"/>
      <c r="Q40" s="4"/>
      <c r="R40" s="4"/>
      <c r="S40" s="4"/>
      <c r="T40" s="4"/>
      <c r="U40" s="4"/>
    </row>
    <row r="41" spans="1:21" ht="12.75">
      <c r="A41" s="4"/>
      <c r="B41" s="4"/>
      <c r="C41" s="4"/>
      <c r="D41" s="4"/>
      <c r="E41" s="4"/>
      <c r="F41" s="4"/>
      <c r="G41" s="4"/>
      <c r="H41" s="4"/>
      <c r="I41" s="4"/>
      <c r="J41" s="4"/>
      <c r="K41" s="4"/>
      <c r="L41" s="4"/>
      <c r="M41" s="4"/>
      <c r="N41" s="4"/>
      <c r="O41" s="4"/>
      <c r="P41" s="4"/>
      <c r="Q41" s="4"/>
      <c r="R41" s="4"/>
      <c r="S41" s="4"/>
      <c r="T41" s="4"/>
      <c r="U41" s="4"/>
    </row>
    <row r="42" spans="1:21" ht="12.75">
      <c r="A42" s="4"/>
      <c r="B42" s="4"/>
      <c r="C42" s="4"/>
      <c r="D42" s="4"/>
      <c r="E42" s="4"/>
      <c r="F42" s="4"/>
      <c r="G42" s="4"/>
      <c r="H42" s="4"/>
      <c r="I42" s="4"/>
      <c r="J42" s="4"/>
      <c r="K42" s="4"/>
      <c r="L42" s="4"/>
      <c r="M42" s="4"/>
      <c r="N42" s="4"/>
      <c r="O42" s="4"/>
      <c r="P42" s="4"/>
      <c r="Q42" s="4"/>
      <c r="R42" s="4"/>
      <c r="S42" s="4"/>
      <c r="T42" s="4"/>
      <c r="U42" s="4"/>
    </row>
    <row r="43" spans="1:21" ht="12.75">
      <c r="A43" s="4"/>
      <c r="B43" s="4"/>
      <c r="C43" s="4"/>
      <c r="D43" s="4"/>
      <c r="E43" s="4"/>
      <c r="F43" s="4"/>
      <c r="G43" s="4"/>
      <c r="H43" s="4"/>
      <c r="I43" s="4"/>
      <c r="J43" s="4"/>
      <c r="K43" s="4"/>
      <c r="L43" s="4"/>
      <c r="M43" s="4"/>
      <c r="N43" s="4"/>
      <c r="O43" s="4"/>
      <c r="P43" s="4"/>
      <c r="Q43" s="4"/>
      <c r="R43" s="4"/>
      <c r="S43" s="4"/>
      <c r="T43" s="4"/>
      <c r="U43" s="4"/>
    </row>
    <row r="44" spans="1:21" ht="12.75">
      <c r="A44" s="4"/>
      <c r="B44" s="4"/>
      <c r="C44" s="4"/>
      <c r="D44" s="4"/>
      <c r="E44" s="4"/>
      <c r="F44" s="4"/>
      <c r="G44" s="4"/>
      <c r="H44" s="4"/>
      <c r="I44" s="4"/>
      <c r="J44" s="4"/>
      <c r="K44" s="4"/>
      <c r="L44" s="4"/>
      <c r="M44" s="4"/>
      <c r="N44" s="4"/>
      <c r="O44" s="4"/>
      <c r="P44" s="4"/>
      <c r="Q44" s="4"/>
      <c r="R44" s="4"/>
      <c r="S44" s="4"/>
      <c r="T44" s="4"/>
      <c r="U44" s="4"/>
    </row>
    <row r="45" spans="1:21" ht="12.75">
      <c r="A45" s="4"/>
      <c r="B45" s="4"/>
      <c r="C45" s="4"/>
      <c r="D45" s="4"/>
      <c r="E45" s="4"/>
      <c r="F45" s="4"/>
      <c r="G45" s="4"/>
      <c r="H45" s="4"/>
      <c r="I45" s="4"/>
      <c r="J45" s="4"/>
      <c r="K45" s="4"/>
      <c r="L45" s="4"/>
      <c r="M45" s="4"/>
      <c r="N45" s="4"/>
      <c r="O45" s="4"/>
      <c r="P45" s="4"/>
      <c r="Q45" s="4"/>
      <c r="R45" s="4"/>
      <c r="S45" s="4"/>
      <c r="T45" s="4"/>
      <c r="U45" s="4"/>
    </row>
    <row r="46" spans="1:21" ht="12.75">
      <c r="A46" s="4"/>
      <c r="B46" s="4"/>
      <c r="C46" s="4"/>
      <c r="D46" s="4"/>
      <c r="E46" s="4"/>
      <c r="F46" s="4"/>
      <c r="G46" s="4"/>
      <c r="H46" s="4"/>
      <c r="I46" s="4"/>
      <c r="J46" s="4"/>
      <c r="K46" s="4"/>
      <c r="L46" s="4"/>
      <c r="M46" s="4"/>
      <c r="N46" s="4"/>
      <c r="O46" s="4"/>
      <c r="P46" s="4"/>
      <c r="Q46" s="4"/>
      <c r="R46" s="4"/>
      <c r="S46" s="4"/>
      <c r="T46" s="4"/>
      <c r="U46" s="4"/>
    </row>
    <row r="47" spans="1:21" ht="12.75">
      <c r="A47" s="4"/>
      <c r="B47" s="4"/>
      <c r="C47" s="4"/>
      <c r="D47" s="4"/>
      <c r="E47" s="4"/>
      <c r="F47" s="4"/>
      <c r="G47" s="4"/>
      <c r="H47" s="4"/>
      <c r="I47" s="4"/>
      <c r="J47" s="4"/>
      <c r="K47" s="4"/>
      <c r="L47" s="4"/>
      <c r="M47" s="4"/>
      <c r="N47" s="4"/>
      <c r="O47" s="4"/>
      <c r="P47" s="4"/>
      <c r="Q47" s="4"/>
      <c r="R47" s="4"/>
      <c r="S47" s="4"/>
      <c r="T47" s="4"/>
      <c r="U47" s="4"/>
    </row>
    <row r="48" spans="1:21" ht="12.75">
      <c r="A48" s="4"/>
      <c r="B48" s="4"/>
      <c r="C48" s="4"/>
      <c r="D48" s="4"/>
      <c r="E48" s="4"/>
      <c r="F48" s="4"/>
      <c r="G48" s="4"/>
      <c r="H48" s="4"/>
      <c r="I48" s="4"/>
      <c r="J48" s="4"/>
      <c r="K48" s="4"/>
      <c r="L48" s="4"/>
      <c r="M48" s="4"/>
      <c r="N48" s="4"/>
      <c r="O48" s="4"/>
      <c r="P48" s="4"/>
      <c r="Q48" s="4"/>
      <c r="R48" s="4"/>
      <c r="S48" s="4"/>
      <c r="T48" s="4"/>
      <c r="U48" s="4"/>
    </row>
    <row r="49" spans="1:21" ht="12.75">
      <c r="A49" s="4"/>
      <c r="B49" s="4"/>
      <c r="C49" s="4"/>
      <c r="D49" s="4"/>
      <c r="E49" s="4"/>
      <c r="F49" s="4"/>
      <c r="G49" s="4"/>
      <c r="H49" s="4"/>
      <c r="I49" s="4"/>
      <c r="J49" s="4"/>
      <c r="K49" s="4"/>
      <c r="L49" s="4"/>
      <c r="M49" s="4"/>
      <c r="N49" s="4"/>
      <c r="O49" s="4"/>
      <c r="P49" s="4"/>
      <c r="Q49" s="4"/>
      <c r="R49" s="4"/>
      <c r="S49" s="4"/>
      <c r="T49" s="4"/>
      <c r="U49" s="4"/>
    </row>
    <row r="50" spans="1:21" ht="12.75">
      <c r="A50" s="4"/>
      <c r="B50" s="4"/>
      <c r="C50" s="4"/>
      <c r="D50" s="4"/>
      <c r="E50" s="4"/>
      <c r="F50" s="4"/>
      <c r="G50" s="4"/>
      <c r="H50" s="4"/>
      <c r="I50" s="4"/>
      <c r="J50" s="4"/>
      <c r="K50" s="4"/>
      <c r="L50" s="4"/>
      <c r="M50" s="4"/>
      <c r="N50" s="4"/>
      <c r="O50" s="4"/>
      <c r="P50" s="4"/>
      <c r="Q50" s="4"/>
      <c r="R50" s="4"/>
      <c r="S50" s="4"/>
      <c r="T50" s="4"/>
      <c r="U50" s="4"/>
    </row>
    <row r="51" spans="1:21" ht="12.75">
      <c r="A51" s="4"/>
      <c r="B51" s="4"/>
      <c r="C51" s="4"/>
      <c r="D51" s="4"/>
      <c r="E51" s="4"/>
      <c r="F51" s="4"/>
      <c r="G51" s="4"/>
      <c r="H51" s="4"/>
      <c r="I51" s="4"/>
      <c r="J51" s="4"/>
      <c r="K51" s="4"/>
      <c r="L51" s="4"/>
      <c r="M51" s="4"/>
      <c r="N51" s="4"/>
      <c r="O51" s="4"/>
      <c r="P51" s="4"/>
      <c r="Q51" s="4"/>
      <c r="R51" s="4"/>
      <c r="S51" s="4"/>
      <c r="T51" s="4"/>
      <c r="U51" s="4"/>
    </row>
    <row r="52" spans="1:21" ht="12.75">
      <c r="A52" s="4"/>
      <c r="B52" s="4"/>
      <c r="C52" s="4"/>
      <c r="D52" s="4"/>
      <c r="E52" s="4"/>
      <c r="F52" s="4"/>
      <c r="G52" s="4"/>
      <c r="H52" s="4"/>
      <c r="I52" s="4"/>
      <c r="J52" s="4"/>
      <c r="K52" s="4"/>
      <c r="L52" s="4"/>
      <c r="M52" s="4"/>
      <c r="N52" s="4"/>
      <c r="O52" s="4"/>
      <c r="P52" s="4"/>
      <c r="Q52" s="4"/>
      <c r="R52" s="4"/>
      <c r="S52" s="4"/>
      <c r="T52" s="4"/>
      <c r="U52" s="4"/>
    </row>
    <row r="53" spans="1:21" ht="12.75">
      <c r="A53" s="4"/>
      <c r="B53" s="4"/>
      <c r="C53" s="4"/>
      <c r="D53" s="4"/>
      <c r="E53" s="4"/>
      <c r="F53" s="4"/>
      <c r="G53" s="4"/>
      <c r="H53" s="4"/>
      <c r="I53" s="4"/>
      <c r="J53" s="4"/>
      <c r="K53" s="4"/>
      <c r="L53" s="4"/>
      <c r="M53" s="4"/>
      <c r="N53" s="4"/>
      <c r="O53" s="4"/>
      <c r="P53" s="4"/>
      <c r="Q53" s="4"/>
      <c r="R53" s="4"/>
      <c r="S53" s="4"/>
      <c r="T53" s="4"/>
      <c r="U53" s="4"/>
    </row>
    <row r="54" spans="1:21" ht="12.75">
      <c r="A54" s="4"/>
      <c r="B54" s="4"/>
      <c r="C54" s="4"/>
      <c r="D54" s="4"/>
      <c r="E54" s="4"/>
      <c r="F54" s="4"/>
      <c r="G54" s="4"/>
      <c r="H54" s="4"/>
      <c r="I54" s="4"/>
      <c r="J54" s="4"/>
      <c r="K54" s="4"/>
      <c r="L54" s="4"/>
      <c r="M54" s="4"/>
      <c r="N54" s="4"/>
      <c r="O54" s="4"/>
      <c r="P54" s="4"/>
      <c r="Q54" s="4"/>
      <c r="R54" s="4"/>
      <c r="S54" s="4"/>
      <c r="T54" s="4"/>
      <c r="U54" s="4"/>
    </row>
    <row r="55" spans="1:21" ht="12.75">
      <c r="A55" s="4"/>
      <c r="B55" s="4"/>
      <c r="C55" s="4"/>
      <c r="D55" s="4"/>
      <c r="E55" s="4"/>
      <c r="F55" s="4"/>
      <c r="G55" s="4"/>
      <c r="H55" s="4"/>
      <c r="I55" s="4"/>
      <c r="J55" s="4"/>
      <c r="K55" s="4"/>
      <c r="L55" s="4"/>
      <c r="M55" s="4"/>
      <c r="N55" s="4"/>
      <c r="O55" s="4"/>
      <c r="P55" s="4"/>
      <c r="Q55" s="4"/>
      <c r="R55" s="4"/>
      <c r="S55" s="4"/>
      <c r="T55" s="4"/>
      <c r="U55" s="4"/>
    </row>
    <row r="56" spans="1:21" ht="12.75">
      <c r="A56" s="4"/>
      <c r="B56" s="4"/>
      <c r="C56" s="4"/>
      <c r="D56" s="4"/>
      <c r="E56" s="4"/>
      <c r="F56" s="4"/>
      <c r="G56" s="4"/>
      <c r="H56" s="4"/>
      <c r="I56" s="4"/>
      <c r="J56" s="4"/>
      <c r="K56" s="4"/>
      <c r="L56" s="4"/>
      <c r="M56" s="4"/>
      <c r="N56" s="4"/>
      <c r="O56" s="4"/>
      <c r="P56" s="4"/>
      <c r="Q56" s="4"/>
      <c r="R56" s="4"/>
      <c r="S56" s="4"/>
      <c r="T56" s="4"/>
      <c r="U56" s="4"/>
    </row>
    <row r="57" spans="1:21" ht="12.75">
      <c r="A57" s="4"/>
      <c r="B57" s="4"/>
      <c r="C57" s="4"/>
      <c r="D57" s="4"/>
      <c r="E57" s="4"/>
      <c r="F57" s="4"/>
      <c r="G57" s="4"/>
      <c r="H57" s="4"/>
      <c r="I57" s="4"/>
      <c r="J57" s="4"/>
      <c r="K57" s="4"/>
      <c r="L57" s="4"/>
      <c r="M57" s="4"/>
      <c r="N57" s="4"/>
      <c r="O57" s="4"/>
      <c r="P57" s="4"/>
      <c r="Q57" s="4"/>
      <c r="R57" s="4"/>
      <c r="S57" s="4"/>
      <c r="T57" s="4"/>
      <c r="U57" s="4"/>
    </row>
    <row r="58" spans="1:21" ht="12.75">
      <c r="A58" s="4"/>
      <c r="B58" s="4"/>
      <c r="C58" s="4"/>
      <c r="D58" s="4"/>
      <c r="E58" s="4"/>
      <c r="F58" s="4"/>
      <c r="G58" s="4"/>
      <c r="H58" s="4"/>
      <c r="I58" s="4"/>
      <c r="J58" s="4"/>
      <c r="K58" s="4"/>
      <c r="L58" s="4"/>
      <c r="M58" s="4"/>
      <c r="N58" s="4"/>
      <c r="O58" s="4"/>
      <c r="P58" s="4"/>
      <c r="Q58" s="4"/>
      <c r="R58" s="4"/>
      <c r="S58" s="4"/>
      <c r="T58" s="4"/>
      <c r="U58" s="4"/>
    </row>
    <row r="59" spans="1:21" ht="12.75">
      <c r="A59" s="4"/>
      <c r="B59" s="4"/>
      <c r="C59" s="4"/>
      <c r="D59" s="4"/>
      <c r="E59" s="4"/>
      <c r="F59" s="4"/>
      <c r="G59" s="4"/>
      <c r="H59" s="4"/>
      <c r="I59" s="4"/>
      <c r="J59" s="4"/>
      <c r="K59" s="4"/>
      <c r="L59" s="4"/>
      <c r="M59" s="4"/>
      <c r="N59" s="4"/>
      <c r="O59" s="4"/>
      <c r="P59" s="4"/>
      <c r="Q59" s="4"/>
      <c r="R59" s="4"/>
      <c r="S59" s="4"/>
      <c r="T59" s="4"/>
      <c r="U59" s="4"/>
    </row>
    <row r="60" spans="1:21" ht="12.75">
      <c r="A60" s="4"/>
      <c r="B60" s="4"/>
      <c r="C60" s="4"/>
      <c r="D60" s="4"/>
      <c r="E60" s="4"/>
      <c r="F60" s="4"/>
      <c r="G60" s="4"/>
      <c r="H60" s="4"/>
      <c r="I60" s="4"/>
      <c r="J60" s="4"/>
      <c r="K60" s="4"/>
      <c r="L60" s="4"/>
      <c r="M60" s="4"/>
      <c r="N60" s="4"/>
      <c r="O60" s="4"/>
      <c r="P60" s="4"/>
      <c r="Q60" s="4"/>
      <c r="R60" s="4"/>
      <c r="S60" s="4"/>
      <c r="T60" s="4"/>
      <c r="U60" s="4"/>
    </row>
    <row r="61" spans="1:21" ht="12.75">
      <c r="A61" s="4"/>
      <c r="B61" s="4"/>
      <c r="C61" s="4"/>
      <c r="D61" s="4"/>
      <c r="E61" s="4"/>
      <c r="F61" s="4"/>
      <c r="G61" s="4"/>
      <c r="H61" s="4"/>
      <c r="I61" s="4"/>
      <c r="J61" s="4"/>
      <c r="K61" s="4"/>
      <c r="L61" s="4"/>
      <c r="M61" s="4"/>
      <c r="N61" s="4"/>
      <c r="O61" s="4"/>
      <c r="P61" s="4"/>
      <c r="Q61" s="4"/>
      <c r="R61" s="4"/>
      <c r="S61" s="4"/>
      <c r="T61" s="4"/>
      <c r="U61" s="4"/>
    </row>
    <row r="62" spans="1:21" ht="12.75">
      <c r="A62" s="4"/>
      <c r="B62" s="4"/>
      <c r="C62" s="4"/>
      <c r="D62" s="4"/>
      <c r="E62" s="4"/>
      <c r="F62" s="4"/>
      <c r="G62" s="4"/>
      <c r="H62" s="4"/>
      <c r="I62" s="4"/>
      <c r="J62" s="4"/>
      <c r="K62" s="4"/>
      <c r="L62" s="4"/>
      <c r="M62" s="4"/>
      <c r="N62" s="4"/>
      <c r="O62" s="4"/>
      <c r="P62" s="4"/>
      <c r="Q62" s="4"/>
      <c r="R62" s="4"/>
      <c r="S62" s="4"/>
      <c r="T62" s="4"/>
      <c r="U62" s="4"/>
    </row>
    <row r="63" spans="1:21" ht="12.75">
      <c r="A63" s="4"/>
      <c r="B63" s="4"/>
      <c r="C63" s="4"/>
      <c r="D63" s="4"/>
      <c r="E63" s="4"/>
      <c r="F63" s="4"/>
      <c r="G63" s="4"/>
      <c r="H63" s="4"/>
      <c r="I63" s="4"/>
      <c r="J63" s="4"/>
      <c r="K63" s="4"/>
      <c r="L63" s="4"/>
      <c r="M63" s="4"/>
      <c r="N63" s="4"/>
      <c r="O63" s="4"/>
      <c r="P63" s="4"/>
      <c r="Q63" s="4"/>
      <c r="R63" s="4"/>
      <c r="S63" s="4"/>
      <c r="T63" s="4"/>
      <c r="U63" s="4"/>
    </row>
    <row r="64" spans="1:21" ht="12.75">
      <c r="A64" s="4"/>
      <c r="B64" s="4"/>
      <c r="C64" s="4"/>
      <c r="D64" s="4"/>
      <c r="E64" s="4"/>
      <c r="F64" s="4"/>
      <c r="G64" s="4"/>
      <c r="H64" s="4"/>
      <c r="I64" s="4"/>
      <c r="J64" s="4"/>
      <c r="K64" s="4"/>
      <c r="L64" s="4"/>
      <c r="M64" s="4"/>
      <c r="N64" s="4"/>
      <c r="O64" s="4"/>
      <c r="P64" s="4"/>
      <c r="Q64" s="4"/>
      <c r="R64" s="4"/>
      <c r="S64" s="4"/>
      <c r="T64" s="4"/>
      <c r="U64" s="4"/>
    </row>
    <row r="65" spans="1:21" ht="12.75">
      <c r="A65" s="4"/>
      <c r="B65" s="4"/>
      <c r="C65" s="4"/>
      <c r="D65" s="4"/>
      <c r="E65" s="4"/>
      <c r="F65" s="4"/>
      <c r="G65" s="4"/>
      <c r="H65" s="4"/>
      <c r="I65" s="4"/>
      <c r="J65" s="4"/>
      <c r="K65" s="4"/>
      <c r="L65" s="4"/>
      <c r="M65" s="4"/>
      <c r="N65" s="4"/>
      <c r="O65" s="4"/>
      <c r="P65" s="4"/>
      <c r="Q65" s="4"/>
      <c r="R65" s="4"/>
      <c r="S65" s="4"/>
      <c r="T65" s="4"/>
      <c r="U65" s="4"/>
    </row>
    <row r="66" spans="1:21" ht="12.75">
      <c r="A66" s="4"/>
      <c r="B66" s="4"/>
      <c r="C66" s="4"/>
      <c r="D66" s="4"/>
      <c r="E66" s="4"/>
      <c r="F66" s="4"/>
      <c r="G66" s="4"/>
      <c r="H66" s="4"/>
      <c r="I66" s="4"/>
      <c r="J66" s="4"/>
      <c r="K66" s="4"/>
      <c r="L66" s="4"/>
      <c r="M66" s="4"/>
      <c r="N66" s="4"/>
      <c r="O66" s="4"/>
      <c r="P66" s="4"/>
      <c r="Q66" s="4"/>
      <c r="R66" s="4"/>
      <c r="S66" s="4"/>
      <c r="T66" s="4"/>
      <c r="U66" s="4"/>
    </row>
    <row r="67" spans="1:21" ht="12.75">
      <c r="A67" s="4"/>
      <c r="B67" s="4"/>
      <c r="C67" s="4"/>
      <c r="D67" s="4"/>
      <c r="E67" s="4"/>
      <c r="F67" s="4"/>
      <c r="G67" s="4"/>
      <c r="H67" s="4"/>
      <c r="I67" s="4"/>
      <c r="J67" s="4"/>
      <c r="K67" s="4"/>
      <c r="L67" s="4"/>
      <c r="M67" s="4"/>
      <c r="N67" s="4"/>
      <c r="O67" s="4"/>
      <c r="P67" s="4"/>
      <c r="Q67" s="4"/>
      <c r="R67" s="4"/>
      <c r="S67" s="4"/>
      <c r="T67" s="4"/>
      <c r="U67" s="4"/>
    </row>
  </sheetData>
  <mergeCells count="3">
    <mergeCell ref="G4:H4"/>
    <mergeCell ref="G3:H3"/>
    <mergeCell ref="A1:F1"/>
  </mergeCells>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61"/>
  <dimension ref="A2:W67"/>
  <sheetViews>
    <sheetView workbookViewId="0" topLeftCell="A1">
      <selection activeCell="C5" sqref="C5"/>
    </sheetView>
  </sheetViews>
  <sheetFormatPr defaultColWidth="9.140625" defaultRowHeight="12.75"/>
  <cols>
    <col min="1" max="1" width="7.8515625" style="11" customWidth="1"/>
    <col min="2" max="2" width="9.140625" style="11" customWidth="1"/>
    <col min="3" max="3" width="7.8515625" style="11" customWidth="1"/>
    <col min="4" max="4" width="6.28125" style="0" customWidth="1"/>
    <col min="5" max="5" width="8.57421875" style="0" customWidth="1"/>
    <col min="6" max="6" width="9.7109375" style="0" customWidth="1"/>
    <col min="7" max="7" width="5.7109375" style="0" customWidth="1"/>
  </cols>
  <sheetData>
    <row r="1" s="4" customFormat="1" ht="13.5" thickBot="1"/>
    <row r="2" spans="1:23" ht="12.75" customHeight="1">
      <c r="A2" s="52" t="s">
        <v>0</v>
      </c>
      <c r="B2" s="32" t="s">
        <v>56</v>
      </c>
      <c r="C2" s="32" t="s">
        <v>55</v>
      </c>
      <c r="D2" s="21" t="s">
        <v>18</v>
      </c>
      <c r="E2" s="21">
        <f>W5/100</f>
        <v>0.9</v>
      </c>
      <c r="F2" s="4"/>
      <c r="G2" s="4"/>
      <c r="H2" s="77" t="s">
        <v>57</v>
      </c>
      <c r="I2" s="78"/>
      <c r="J2" s="78"/>
      <c r="K2" s="79"/>
      <c r="L2" s="4"/>
      <c r="M2" s="4"/>
      <c r="N2" s="4"/>
      <c r="O2" s="4"/>
      <c r="P2" s="4"/>
      <c r="Q2" s="4"/>
      <c r="R2" s="4"/>
      <c r="S2" s="4"/>
      <c r="W2" t="s">
        <v>63</v>
      </c>
    </row>
    <row r="3" spans="1:23" ht="12.75" customHeight="1">
      <c r="A3" s="52">
        <v>0</v>
      </c>
      <c r="B3" s="32">
        <f aca="true" t="shared" si="0" ref="B3:B33">E$3-E$2*A3</f>
        <v>20</v>
      </c>
      <c r="C3" s="32"/>
      <c r="D3" s="21" t="s">
        <v>2</v>
      </c>
      <c r="E3" s="21">
        <v>20</v>
      </c>
      <c r="F3" s="4"/>
      <c r="G3" s="4"/>
      <c r="H3" s="16" t="s">
        <v>23</v>
      </c>
      <c r="I3" s="8">
        <f>TotalUtilityCurves!F28</f>
        <v>2.01</v>
      </c>
      <c r="J3" s="8" t="s">
        <v>26</v>
      </c>
      <c r="K3" s="18">
        <f>UtilityFunction!$E$14</f>
        <v>10</v>
      </c>
      <c r="L3" s="4"/>
      <c r="M3" s="4"/>
      <c r="N3" s="4"/>
      <c r="O3" s="4"/>
      <c r="P3" s="4"/>
      <c r="Q3" s="4"/>
      <c r="R3" s="4"/>
      <c r="S3" s="4"/>
      <c r="W3" t="s">
        <v>64</v>
      </c>
    </row>
    <row r="4" spans="1:23" ht="12.75" customHeight="1" thickBot="1">
      <c r="A4" s="52">
        <f>A3+1</f>
        <v>1</v>
      </c>
      <c r="B4" s="32">
        <f t="shared" si="0"/>
        <v>19.1</v>
      </c>
      <c r="C4" s="36"/>
      <c r="D4" s="21" t="s">
        <v>3</v>
      </c>
      <c r="E4" s="21">
        <v>7.331438682985636</v>
      </c>
      <c r="F4" s="4"/>
      <c r="G4" s="4"/>
      <c r="H4" s="19" t="s">
        <v>24</v>
      </c>
      <c r="I4" s="53">
        <f>UtilityFunction!$C$15</f>
        <v>-0.5024875621890547</v>
      </c>
      <c r="J4" s="53" t="s">
        <v>27</v>
      </c>
      <c r="K4" s="20">
        <f>UtilityFunction!$E$15</f>
        <v>0.4</v>
      </c>
      <c r="L4" s="4"/>
      <c r="M4" s="4"/>
      <c r="N4" s="4"/>
      <c r="O4" s="4"/>
      <c r="P4" s="4"/>
      <c r="Q4" s="4"/>
      <c r="R4" s="4"/>
      <c r="S4" s="4"/>
      <c r="W4">
        <v>81</v>
      </c>
    </row>
    <row r="5" spans="1:23" ht="12.75" customHeight="1">
      <c r="A5" s="52">
        <f aca="true" t="shared" si="1" ref="A5:A33">A4+1</f>
        <v>2</v>
      </c>
      <c r="B5" s="32">
        <f t="shared" si="0"/>
        <v>18.2</v>
      </c>
      <c r="C5" s="32">
        <f aca="true" t="shared" si="2" ref="C5:C33">(((E$6/K$3)^-I$4-K$4*A5^-I$4)/(1-K$4))^-(1/I$4)</f>
        <v>20.431607592609602</v>
      </c>
      <c r="D5" s="16" t="s">
        <v>4</v>
      </c>
      <c r="E5" s="37">
        <v>13.401705131547963</v>
      </c>
      <c r="F5" s="4"/>
      <c r="G5" s="4"/>
      <c r="H5" s="65" t="s">
        <v>52</v>
      </c>
      <c r="I5" s="75"/>
      <c r="J5" s="5"/>
      <c r="K5" s="5"/>
      <c r="L5" s="4"/>
      <c r="M5" s="4"/>
      <c r="N5" s="4"/>
      <c r="O5" s="4"/>
      <c r="P5" s="4"/>
      <c r="Q5" s="4"/>
      <c r="R5" s="4"/>
      <c r="S5" s="4"/>
      <c r="W5">
        <v>90</v>
      </c>
    </row>
    <row r="6" spans="1:19" ht="12.75" customHeight="1" thickBot="1">
      <c r="A6" s="52">
        <f t="shared" si="1"/>
        <v>3</v>
      </c>
      <c r="B6" s="32">
        <f t="shared" si="0"/>
        <v>17.3</v>
      </c>
      <c r="C6" s="32">
        <f t="shared" si="2"/>
        <v>18.570314452266416</v>
      </c>
      <c r="D6" s="19" t="s">
        <v>5</v>
      </c>
      <c r="E6" s="40">
        <f>K3*(K4*E4^-I4+(1-K4)*E5^-I4)^-(1/I4)</f>
        <v>107.56660500777483</v>
      </c>
      <c r="F6" s="4"/>
      <c r="G6" s="4"/>
      <c r="H6" s="4"/>
      <c r="I6" s="4"/>
      <c r="J6" s="4"/>
      <c r="K6" s="4"/>
      <c r="L6" s="4"/>
      <c r="M6" s="4"/>
      <c r="N6" s="4"/>
      <c r="O6" s="4"/>
      <c r="P6" s="4"/>
      <c r="Q6" s="4"/>
      <c r="R6" s="4"/>
      <c r="S6" s="4"/>
    </row>
    <row r="7" spans="1:19" ht="12.75" customHeight="1">
      <c r="A7" s="52">
        <f t="shared" si="1"/>
        <v>4</v>
      </c>
      <c r="B7" s="32">
        <f t="shared" si="0"/>
        <v>16.4</v>
      </c>
      <c r="C7" s="32">
        <f t="shared" si="2"/>
        <v>17.068635299075467</v>
      </c>
      <c r="D7" s="5"/>
      <c r="E7" s="5"/>
      <c r="F7" s="4"/>
      <c r="G7" s="4"/>
      <c r="H7" s="4"/>
      <c r="I7" s="4"/>
      <c r="J7" s="4"/>
      <c r="K7" s="4"/>
      <c r="L7" s="4"/>
      <c r="M7" s="4"/>
      <c r="N7" s="4"/>
      <c r="O7" s="4"/>
      <c r="P7" s="4"/>
      <c r="Q7" s="4"/>
      <c r="R7" s="4"/>
      <c r="S7" s="4"/>
    </row>
    <row r="8" spans="1:19" ht="12.75" customHeight="1">
      <c r="A8" s="52">
        <f t="shared" si="1"/>
        <v>5</v>
      </c>
      <c r="B8" s="32">
        <f t="shared" si="0"/>
        <v>15.5</v>
      </c>
      <c r="C8" s="32">
        <f t="shared" si="2"/>
        <v>15.797043749485626</v>
      </c>
      <c r="D8" s="5"/>
      <c r="E8" s="5"/>
      <c r="F8" s="4"/>
      <c r="G8" s="4"/>
      <c r="H8" s="4"/>
      <c r="I8" s="4"/>
      <c r="J8" s="4"/>
      <c r="K8" s="4"/>
      <c r="L8" s="4"/>
      <c r="M8" s="4"/>
      <c r="N8" s="4"/>
      <c r="O8" s="4"/>
      <c r="P8" s="4"/>
      <c r="Q8" s="4"/>
      <c r="R8" s="4"/>
      <c r="S8" s="4"/>
    </row>
    <row r="9" spans="1:19" ht="12.75" customHeight="1">
      <c r="A9" s="52">
        <f t="shared" si="1"/>
        <v>6</v>
      </c>
      <c r="B9" s="32">
        <f t="shared" si="0"/>
        <v>14.6</v>
      </c>
      <c r="C9" s="32">
        <f t="shared" si="2"/>
        <v>14.68904872390701</v>
      </c>
      <c r="D9" s="5"/>
      <c r="E9" s="5"/>
      <c r="F9" s="4"/>
      <c r="G9" s="4"/>
      <c r="H9" s="4"/>
      <c r="I9" s="4"/>
      <c r="J9" s="4"/>
      <c r="K9" s="4"/>
      <c r="L9" s="4"/>
      <c r="M9" s="4"/>
      <c r="N9" s="4"/>
      <c r="O9" s="4"/>
      <c r="P9" s="4"/>
      <c r="Q9" s="4"/>
      <c r="R9" s="4"/>
      <c r="S9" s="4"/>
    </row>
    <row r="10" spans="1:19" ht="12.75" customHeight="1">
      <c r="A10" s="52">
        <f t="shared" si="1"/>
        <v>7</v>
      </c>
      <c r="B10" s="32">
        <f t="shared" si="0"/>
        <v>13.7</v>
      </c>
      <c r="C10" s="32">
        <f t="shared" si="2"/>
        <v>13.705122157210456</v>
      </c>
      <c r="D10" s="5"/>
      <c r="E10" s="5"/>
      <c r="F10" s="4"/>
      <c r="G10" s="4"/>
      <c r="H10" s="4"/>
      <c r="I10" s="4"/>
      <c r="J10" s="4"/>
      <c r="K10" s="4"/>
      <c r="L10" s="4"/>
      <c r="M10" s="4"/>
      <c r="N10" s="4"/>
      <c r="O10" s="4"/>
      <c r="P10" s="4"/>
      <c r="Q10" s="4"/>
      <c r="R10" s="4"/>
      <c r="S10" s="4"/>
    </row>
    <row r="11" spans="1:19" ht="12.75" customHeight="1">
      <c r="A11" s="52">
        <f t="shared" si="1"/>
        <v>8</v>
      </c>
      <c r="B11" s="32">
        <f t="shared" si="0"/>
        <v>12.8</v>
      </c>
      <c r="C11" s="32">
        <f t="shared" si="2"/>
        <v>12.819493265827411</v>
      </c>
      <c r="D11" s="5"/>
      <c r="E11" s="5"/>
      <c r="F11" s="4"/>
      <c r="G11" s="4"/>
      <c r="H11" s="4"/>
      <c r="I11" s="4"/>
      <c r="J11" s="4"/>
      <c r="K11" s="4"/>
      <c r="L11" s="4"/>
      <c r="M11" s="4"/>
      <c r="N11" s="4"/>
      <c r="O11" s="4"/>
      <c r="P11" s="4"/>
      <c r="Q11" s="4"/>
      <c r="R11" s="4"/>
      <c r="S11" s="4"/>
    </row>
    <row r="12" spans="1:19" ht="12.75" customHeight="1">
      <c r="A12" s="52">
        <f t="shared" si="1"/>
        <v>9</v>
      </c>
      <c r="B12" s="32">
        <f t="shared" si="0"/>
        <v>11.9</v>
      </c>
      <c r="C12" s="32">
        <f t="shared" si="2"/>
        <v>12.014251904217273</v>
      </c>
      <c r="D12" s="5"/>
      <c r="E12" s="5"/>
      <c r="F12" s="4"/>
      <c r="G12" s="4"/>
      <c r="H12" s="4"/>
      <c r="I12" s="4"/>
      <c r="J12" s="4"/>
      <c r="K12" s="4"/>
      <c r="L12" s="4"/>
      <c r="M12" s="4"/>
      <c r="N12" s="4"/>
      <c r="O12" s="4"/>
      <c r="P12" s="4"/>
      <c r="Q12" s="4"/>
      <c r="R12" s="4"/>
      <c r="S12" s="4"/>
    </row>
    <row r="13" spans="1:19" ht="12.75" customHeight="1">
      <c r="A13" s="52">
        <f t="shared" si="1"/>
        <v>10</v>
      </c>
      <c r="B13" s="32">
        <f t="shared" si="0"/>
        <v>11</v>
      </c>
      <c r="C13" s="32">
        <f t="shared" si="2"/>
        <v>11.276351530972157</v>
      </c>
      <c r="D13" s="5"/>
      <c r="E13" s="5"/>
      <c r="F13" s="4"/>
      <c r="G13" s="4"/>
      <c r="H13" s="4"/>
      <c r="I13" s="4"/>
      <c r="J13" s="4"/>
      <c r="K13" s="4"/>
      <c r="L13" s="4"/>
      <c r="M13" s="4"/>
      <c r="N13" s="4"/>
      <c r="O13" s="4"/>
      <c r="P13" s="4"/>
      <c r="Q13" s="4"/>
      <c r="R13" s="4"/>
      <c r="S13" s="4"/>
    </row>
    <row r="14" spans="1:19" ht="12.75" customHeight="1">
      <c r="A14" s="52">
        <f t="shared" si="1"/>
        <v>11</v>
      </c>
      <c r="B14" s="32">
        <f t="shared" si="0"/>
        <v>10.1</v>
      </c>
      <c r="C14" s="32">
        <f t="shared" si="2"/>
        <v>10.59593878802466</v>
      </c>
      <c r="D14" s="5"/>
      <c r="E14" s="5"/>
      <c r="F14" s="4"/>
      <c r="G14" s="4"/>
      <c r="H14" s="4"/>
      <c r="I14" s="4"/>
      <c r="J14" s="4"/>
      <c r="K14" s="4"/>
      <c r="L14" s="4"/>
      <c r="M14" s="4"/>
      <c r="N14" s="4"/>
      <c r="O14" s="4"/>
      <c r="P14" s="4"/>
      <c r="Q14" s="4"/>
      <c r="R14" s="4"/>
      <c r="S14" s="4"/>
    </row>
    <row r="15" spans="1:19" ht="12.75" customHeight="1">
      <c r="A15" s="52">
        <f t="shared" si="1"/>
        <v>12</v>
      </c>
      <c r="B15" s="32">
        <f t="shared" si="0"/>
        <v>9.2</v>
      </c>
      <c r="C15" s="32">
        <f t="shared" si="2"/>
        <v>9.96535556659819</v>
      </c>
      <c r="D15" s="5"/>
      <c r="E15" s="5"/>
      <c r="F15" s="4"/>
      <c r="G15" s="4"/>
      <c r="H15" s="4"/>
      <c r="I15" s="4"/>
      <c r="J15" s="4"/>
      <c r="K15" s="4"/>
      <c r="L15" s="4"/>
      <c r="M15" s="4"/>
      <c r="N15" s="4"/>
      <c r="O15" s="4"/>
      <c r="P15" s="4"/>
      <c r="Q15" s="4"/>
      <c r="R15" s="4"/>
      <c r="S15" s="4"/>
    </row>
    <row r="16" spans="1:19" ht="12.75" customHeight="1">
      <c r="A16" s="52">
        <f t="shared" si="1"/>
        <v>13</v>
      </c>
      <c r="B16" s="32">
        <f t="shared" si="0"/>
        <v>8.299999999999999</v>
      </c>
      <c r="C16" s="32">
        <f t="shared" si="2"/>
        <v>9.378509556947634</v>
      </c>
      <c r="D16" s="5"/>
      <c r="E16" s="5"/>
      <c r="F16" s="4"/>
      <c r="G16" s="4"/>
      <c r="H16" s="4"/>
      <c r="I16" s="4"/>
      <c r="J16" s="4"/>
      <c r="K16" s="4"/>
      <c r="L16" s="4"/>
      <c r="M16" s="4"/>
      <c r="N16" s="4"/>
      <c r="O16" s="4"/>
      <c r="P16" s="4"/>
      <c r="Q16" s="4"/>
      <c r="R16" s="4"/>
      <c r="S16" s="4"/>
    </row>
    <row r="17" spans="1:19" ht="12.75" customHeight="1">
      <c r="A17" s="52">
        <f t="shared" si="1"/>
        <v>14</v>
      </c>
      <c r="B17" s="32">
        <f t="shared" si="0"/>
        <v>7.4</v>
      </c>
      <c r="C17" s="32">
        <f t="shared" si="2"/>
        <v>8.83045947146567</v>
      </c>
      <c r="D17" s="5"/>
      <c r="E17" s="5"/>
      <c r="F17" s="4"/>
      <c r="G17" s="4"/>
      <c r="H17" s="4"/>
      <c r="I17" s="4"/>
      <c r="J17" s="4"/>
      <c r="K17" s="4"/>
      <c r="L17" s="4"/>
      <c r="M17" s="4"/>
      <c r="N17" s="4"/>
      <c r="O17" s="4"/>
      <c r="P17" s="4"/>
      <c r="Q17" s="4"/>
      <c r="R17" s="4"/>
      <c r="S17" s="4"/>
    </row>
    <row r="18" spans="1:19" ht="12.75" customHeight="1">
      <c r="A18" s="52">
        <f t="shared" si="1"/>
        <v>15</v>
      </c>
      <c r="B18" s="32">
        <f t="shared" si="0"/>
        <v>6.5</v>
      </c>
      <c r="C18" s="32">
        <f t="shared" si="2"/>
        <v>8.317131701675905</v>
      </c>
      <c r="D18" s="5"/>
      <c r="E18" s="5"/>
      <c r="F18" s="4"/>
      <c r="G18" s="4"/>
      <c r="H18" s="4"/>
      <c r="I18" s="4"/>
      <c r="J18" s="4"/>
      <c r="K18" s="4"/>
      <c r="L18" s="4"/>
      <c r="M18" s="4"/>
      <c r="N18" s="4"/>
      <c r="O18" s="4"/>
      <c r="P18" s="4"/>
      <c r="Q18" s="4"/>
      <c r="R18" s="4"/>
      <c r="S18" s="4"/>
    </row>
    <row r="19" spans="1:19" ht="12.75" customHeight="1">
      <c r="A19" s="52">
        <f t="shared" si="1"/>
        <v>16</v>
      </c>
      <c r="B19" s="32">
        <f t="shared" si="0"/>
        <v>5.6</v>
      </c>
      <c r="C19" s="32">
        <f t="shared" si="2"/>
        <v>7.83512082333094</v>
      </c>
      <c r="D19" s="5"/>
      <c r="E19" s="5"/>
      <c r="F19" s="4"/>
      <c r="G19" s="4"/>
      <c r="H19" s="4"/>
      <c r="I19" s="4"/>
      <c r="J19" s="4"/>
      <c r="K19" s="4"/>
      <c r="L19" s="4"/>
      <c r="M19" s="4"/>
      <c r="N19" s="4"/>
      <c r="O19" s="4"/>
      <c r="P19" s="4"/>
      <c r="Q19" s="4"/>
      <c r="R19" s="4"/>
      <c r="S19" s="4"/>
    </row>
    <row r="20" spans="1:19" ht="12.75" customHeight="1">
      <c r="A20" s="52">
        <f t="shared" si="1"/>
        <v>17</v>
      </c>
      <c r="B20" s="32">
        <f t="shared" si="0"/>
        <v>4.699999999999999</v>
      </c>
      <c r="C20" s="32">
        <f t="shared" si="2"/>
        <v>7.381545477549344</v>
      </c>
      <c r="D20" s="5"/>
      <c r="E20" s="5"/>
      <c r="F20" s="4"/>
      <c r="G20" s="4"/>
      <c r="H20" s="4"/>
      <c r="I20" s="4"/>
      <c r="J20" s="4"/>
      <c r="K20" s="4"/>
      <c r="L20" s="4"/>
      <c r="M20" s="4"/>
      <c r="N20" s="4"/>
      <c r="O20" s="4"/>
      <c r="P20" s="4"/>
      <c r="Q20" s="4"/>
      <c r="R20" s="4"/>
      <c r="S20" s="4"/>
    </row>
    <row r="21" spans="1:19" ht="12.75" customHeight="1">
      <c r="A21" s="52">
        <f t="shared" si="1"/>
        <v>18</v>
      </c>
      <c r="B21" s="32">
        <f t="shared" si="0"/>
        <v>3.8000000000000007</v>
      </c>
      <c r="C21" s="32">
        <f t="shared" si="2"/>
        <v>6.953941922821057</v>
      </c>
      <c r="D21" s="5"/>
      <c r="E21" s="5"/>
      <c r="F21" s="4"/>
      <c r="G21" s="4"/>
      <c r="H21" s="4"/>
      <c r="I21" s="4"/>
      <c r="J21" s="4"/>
      <c r="K21" s="4"/>
      <c r="L21" s="4"/>
      <c r="M21" s="4"/>
      <c r="N21" s="4"/>
      <c r="O21" s="4"/>
      <c r="P21" s="4"/>
      <c r="Q21" s="4"/>
      <c r="R21" s="4"/>
      <c r="S21" s="4"/>
    </row>
    <row r="22" spans="1:19" ht="12.75" customHeight="1">
      <c r="A22" s="52">
        <f t="shared" si="1"/>
        <v>19</v>
      </c>
      <c r="B22" s="32">
        <f t="shared" si="0"/>
        <v>2.8999999999999986</v>
      </c>
      <c r="C22" s="32">
        <f t="shared" si="2"/>
        <v>6.5501838780603965</v>
      </c>
      <c r="D22" s="5"/>
      <c r="E22" s="5"/>
      <c r="F22" s="4"/>
      <c r="G22" s="4"/>
      <c r="H22" s="4"/>
      <c r="I22" s="4"/>
      <c r="J22" s="4"/>
      <c r="K22" s="4"/>
      <c r="L22" s="4"/>
      <c r="M22" s="4"/>
      <c r="N22" s="4"/>
      <c r="O22" s="4"/>
      <c r="P22" s="4"/>
      <c r="Q22" s="4"/>
      <c r="R22" s="4"/>
      <c r="S22" s="4"/>
    </row>
    <row r="23" spans="1:19" ht="12.75" customHeight="1">
      <c r="A23" s="52">
        <f t="shared" si="1"/>
        <v>20</v>
      </c>
      <c r="B23" s="32">
        <f t="shared" si="0"/>
        <v>2</v>
      </c>
      <c r="C23" s="32">
        <f t="shared" si="2"/>
        <v>6.168421129673753</v>
      </c>
      <c r="D23" s="5"/>
      <c r="E23" s="5"/>
      <c r="F23" s="4"/>
      <c r="G23" s="4"/>
      <c r="H23" s="4"/>
      <c r="I23" s="4"/>
      <c r="J23" s="4"/>
      <c r="K23" s="4"/>
      <c r="L23" s="4"/>
      <c r="M23" s="4"/>
      <c r="N23" s="4"/>
      <c r="O23" s="4"/>
      <c r="P23" s="4"/>
      <c r="Q23" s="4"/>
      <c r="R23" s="4"/>
      <c r="S23" s="4"/>
    </row>
    <row r="24" spans="1:19" ht="12.75" customHeight="1">
      <c r="A24" s="52">
        <f t="shared" si="1"/>
        <v>21</v>
      </c>
      <c r="B24" s="32">
        <f t="shared" si="0"/>
        <v>1.0999999999999979</v>
      </c>
      <c r="C24" s="32">
        <f t="shared" si="2"/>
        <v>5.807031797310244</v>
      </c>
      <c r="D24" s="5"/>
      <c r="E24" s="5"/>
      <c r="F24" s="4"/>
      <c r="G24" s="4"/>
      <c r="H24" s="4"/>
      <c r="I24" s="4"/>
      <c r="J24" s="4"/>
      <c r="K24" s="4"/>
      <c r="L24" s="4"/>
      <c r="M24" s="4"/>
      <c r="N24" s="4"/>
      <c r="O24" s="4"/>
      <c r="P24" s="4"/>
      <c r="Q24" s="4"/>
      <c r="R24" s="4"/>
      <c r="S24" s="4"/>
    </row>
    <row r="25" spans="1:19" ht="12.75" customHeight="1">
      <c r="A25" s="52">
        <f t="shared" si="1"/>
        <v>22</v>
      </c>
      <c r="B25" s="32">
        <f t="shared" si="0"/>
        <v>0.1999999999999993</v>
      </c>
      <c r="C25" s="32">
        <f t="shared" si="2"/>
        <v>5.464584717770954</v>
      </c>
      <c r="D25" s="5"/>
      <c r="E25" s="5"/>
      <c r="F25" s="4"/>
      <c r="G25" s="4"/>
      <c r="H25" s="4"/>
      <c r="I25" s="4"/>
      <c r="J25" s="4"/>
      <c r="K25" s="4"/>
      <c r="L25" s="4"/>
      <c r="M25" s="4"/>
      <c r="N25" s="4"/>
      <c r="O25" s="4"/>
      <c r="P25" s="4"/>
      <c r="Q25" s="4"/>
      <c r="R25" s="4"/>
      <c r="S25" s="4"/>
    </row>
    <row r="26" spans="1:19" ht="12.75" customHeight="1">
      <c r="A26" s="52">
        <f t="shared" si="1"/>
        <v>23</v>
      </c>
      <c r="B26" s="32">
        <f t="shared" si="0"/>
        <v>-0.6999999999999993</v>
      </c>
      <c r="C26" s="32">
        <f t="shared" si="2"/>
        <v>5.139809442709021</v>
      </c>
      <c r="D26" s="5"/>
      <c r="E26" s="5"/>
      <c r="F26" s="4"/>
      <c r="G26" s="4"/>
      <c r="H26" s="4"/>
      <c r="I26" s="4"/>
      <c r="J26" s="4"/>
      <c r="K26" s="4"/>
      <c r="L26" s="4"/>
      <c r="M26" s="4"/>
      <c r="N26" s="4"/>
      <c r="O26" s="4"/>
      <c r="P26" s="4"/>
      <c r="Q26" s="4"/>
      <c r="R26" s="4"/>
      <c r="S26" s="4"/>
    </row>
    <row r="27" spans="1:19" ht="12.75" customHeight="1">
      <c r="A27" s="52">
        <f t="shared" si="1"/>
        <v>24</v>
      </c>
      <c r="B27" s="32">
        <f t="shared" si="0"/>
        <v>-1.6000000000000014</v>
      </c>
      <c r="C27" s="32">
        <f t="shared" si="2"/>
        <v>4.83157204699823</v>
      </c>
      <c r="D27" s="5"/>
      <c r="E27" s="5"/>
      <c r="F27" s="4"/>
      <c r="G27" s="4"/>
      <c r="H27" s="4"/>
      <c r="I27" s="4"/>
      <c r="J27" s="4"/>
      <c r="K27" s="4"/>
      <c r="L27" s="4"/>
      <c r="M27" s="4"/>
      <c r="N27" s="4"/>
      <c r="O27" s="4"/>
      <c r="P27" s="4"/>
      <c r="Q27" s="4"/>
      <c r="R27" s="4"/>
      <c r="S27" s="4"/>
    </row>
    <row r="28" spans="1:19" ht="12.75" customHeight="1">
      <c r="A28" s="52">
        <f t="shared" si="1"/>
        <v>25</v>
      </c>
      <c r="B28" s="32">
        <f t="shared" si="0"/>
        <v>-2.5</v>
      </c>
      <c r="C28" s="32">
        <f t="shared" si="2"/>
        <v>4.538855428627743</v>
      </c>
      <c r="D28" s="5"/>
      <c r="E28" s="5"/>
      <c r="F28" s="4"/>
      <c r="G28" s="4"/>
      <c r="H28" s="4"/>
      <c r="I28" s="4"/>
      <c r="J28" s="4"/>
      <c r="K28" s="4"/>
      <c r="L28" s="4"/>
      <c r="M28" s="4"/>
      <c r="N28" s="4"/>
      <c r="O28" s="4"/>
      <c r="P28" s="4"/>
      <c r="Q28" s="4"/>
      <c r="R28" s="4"/>
      <c r="S28" s="4"/>
    </row>
    <row r="29" spans="1:19" ht="12.75" customHeight="1">
      <c r="A29" s="52">
        <f t="shared" si="1"/>
        <v>26</v>
      </c>
      <c r="B29" s="32">
        <f t="shared" si="0"/>
        <v>-3.400000000000002</v>
      </c>
      <c r="C29" s="32">
        <f t="shared" si="2"/>
        <v>4.260743120976501</v>
      </c>
      <c r="D29" s="5"/>
      <c r="E29" s="5"/>
      <c r="F29" s="4"/>
      <c r="G29" s="4"/>
      <c r="H29" s="4"/>
      <c r="I29" s="4"/>
      <c r="J29" s="4"/>
      <c r="K29" s="4"/>
      <c r="L29" s="4"/>
      <c r="M29" s="4"/>
      <c r="N29" s="4"/>
      <c r="O29" s="4"/>
      <c r="P29" s="4"/>
      <c r="Q29" s="4"/>
      <c r="R29" s="4"/>
      <c r="S29" s="4"/>
    </row>
    <row r="30" spans="1:19" ht="12.75" customHeight="1">
      <c r="A30" s="52">
        <f t="shared" si="1"/>
        <v>27</v>
      </c>
      <c r="B30" s="32">
        <f t="shared" si="0"/>
        <v>-4.300000000000001</v>
      </c>
      <c r="C30" s="32">
        <f t="shared" si="2"/>
        <v>3.996405881037723</v>
      </c>
      <c r="D30" s="5"/>
      <c r="E30" s="5"/>
      <c r="F30" s="4"/>
      <c r="G30" s="4"/>
      <c r="H30" s="4"/>
      <c r="I30" s="4"/>
      <c r="J30" s="4"/>
      <c r="K30" s="4"/>
      <c r="L30" s="4"/>
      <c r="M30" s="4"/>
      <c r="N30" s="4"/>
      <c r="O30" s="4"/>
      <c r="P30" s="4"/>
      <c r="Q30" s="4"/>
      <c r="R30" s="4"/>
      <c r="S30" s="4"/>
    </row>
    <row r="31" spans="1:19" ht="12.75" customHeight="1">
      <c r="A31" s="52">
        <f t="shared" si="1"/>
        <v>28</v>
      </c>
      <c r="B31" s="32">
        <f t="shared" si="0"/>
        <v>-5.199999999999999</v>
      </c>
      <c r="C31" s="32">
        <f t="shared" si="2"/>
        <v>3.7450904929933446</v>
      </c>
      <c r="D31" s="5"/>
      <c r="E31" s="5"/>
      <c r="F31" s="4"/>
      <c r="G31" s="4"/>
      <c r="H31" s="4"/>
      <c r="I31" s="4"/>
      <c r="J31" s="4"/>
      <c r="K31" s="4"/>
      <c r="L31" s="4"/>
      <c r="M31" s="4"/>
      <c r="N31" s="4"/>
      <c r="O31" s="4"/>
      <c r="P31" s="4"/>
      <c r="Q31" s="4"/>
      <c r="R31" s="4"/>
      <c r="S31" s="4"/>
    </row>
    <row r="32" spans="1:19" ht="12.75" customHeight="1">
      <c r="A32" s="52">
        <f t="shared" si="1"/>
        <v>29</v>
      </c>
      <c r="B32" s="32">
        <f t="shared" si="0"/>
        <v>-6.100000000000001</v>
      </c>
      <c r="C32" s="32">
        <f t="shared" si="2"/>
        <v>3.5061103556350517</v>
      </c>
      <c r="D32" s="5"/>
      <c r="E32" s="5"/>
      <c r="F32" s="4"/>
      <c r="G32" s="4"/>
      <c r="H32" s="4"/>
      <c r="I32" s="4"/>
      <c r="J32" s="4"/>
      <c r="K32" s="4"/>
      <c r="L32" s="4"/>
      <c r="M32" s="4"/>
      <c r="N32" s="4"/>
      <c r="O32" s="4"/>
      <c r="P32" s="4"/>
      <c r="Q32" s="4"/>
      <c r="R32" s="4"/>
      <c r="S32" s="4"/>
    </row>
    <row r="33" spans="1:19" ht="12.75" customHeight="1">
      <c r="A33" s="52">
        <f t="shared" si="1"/>
        <v>30</v>
      </c>
      <c r="B33" s="32">
        <f t="shared" si="0"/>
        <v>-7</v>
      </c>
      <c r="C33" s="32">
        <f t="shared" si="2"/>
        <v>3.278837518089636</v>
      </c>
      <c r="D33" s="5"/>
      <c r="E33" s="5"/>
      <c r="F33" s="4"/>
      <c r="G33" s="4"/>
      <c r="H33" s="4"/>
      <c r="I33" s="4"/>
      <c r="J33" s="4"/>
      <c r="K33" s="4"/>
      <c r="L33" s="4"/>
      <c r="M33" s="4"/>
      <c r="N33" s="4"/>
      <c r="O33" s="4"/>
      <c r="P33" s="4"/>
      <c r="Q33" s="4"/>
      <c r="R33" s="4"/>
      <c r="S33" s="4"/>
    </row>
    <row r="34" spans="1:19" ht="12.75">
      <c r="A34" s="4"/>
      <c r="B34" s="4"/>
      <c r="C34" s="4"/>
      <c r="D34" s="4"/>
      <c r="E34" s="4"/>
      <c r="F34" s="4"/>
      <c r="G34" s="4"/>
      <c r="H34" s="4"/>
      <c r="I34" s="4"/>
      <c r="J34" s="4"/>
      <c r="K34" s="4"/>
      <c r="L34" s="4"/>
      <c r="M34" s="4"/>
      <c r="N34" s="4"/>
      <c r="O34" s="4"/>
      <c r="P34" s="4"/>
      <c r="Q34" s="4"/>
      <c r="R34" s="4"/>
      <c r="S34" s="4"/>
    </row>
    <row r="35" spans="1:19" ht="12.75">
      <c r="A35" s="4"/>
      <c r="B35" s="4"/>
      <c r="C35" s="4"/>
      <c r="D35" s="4"/>
      <c r="E35" s="4"/>
      <c r="F35" s="4"/>
      <c r="G35" s="4"/>
      <c r="H35" s="4"/>
      <c r="I35" s="4"/>
      <c r="J35" s="4"/>
      <c r="K35" s="4"/>
      <c r="L35" s="4"/>
      <c r="M35" s="4"/>
      <c r="N35" s="4"/>
      <c r="O35" s="4"/>
      <c r="P35" s="4"/>
      <c r="Q35" s="4"/>
      <c r="R35" s="4"/>
      <c r="S35" s="4"/>
    </row>
    <row r="36" spans="1:19" ht="12.75">
      <c r="A36" s="4"/>
      <c r="B36" s="4"/>
      <c r="C36" s="4"/>
      <c r="D36" s="4"/>
      <c r="E36" s="4"/>
      <c r="F36" s="4"/>
      <c r="G36" s="4"/>
      <c r="H36" s="4"/>
      <c r="I36" s="4"/>
      <c r="J36" s="4"/>
      <c r="K36" s="4"/>
      <c r="L36" s="4"/>
      <c r="M36" s="4"/>
      <c r="N36" s="4"/>
      <c r="O36" s="4"/>
      <c r="P36" s="4"/>
      <c r="Q36" s="4"/>
      <c r="R36" s="4"/>
      <c r="S36" s="4"/>
    </row>
    <row r="37" spans="1:19" ht="12.75">
      <c r="A37" s="4"/>
      <c r="B37" s="4"/>
      <c r="C37" s="4"/>
      <c r="D37" s="4"/>
      <c r="E37" s="4"/>
      <c r="F37" s="4"/>
      <c r="G37" s="4"/>
      <c r="H37" s="4"/>
      <c r="I37" s="4"/>
      <c r="J37" s="4"/>
      <c r="K37" s="4"/>
      <c r="L37" s="4"/>
      <c r="M37" s="4"/>
      <c r="N37" s="4"/>
      <c r="O37" s="4"/>
      <c r="P37" s="4"/>
      <c r="Q37" s="4"/>
      <c r="R37" s="4"/>
      <c r="S37" s="4"/>
    </row>
    <row r="38" spans="1:19" ht="12.75">
      <c r="A38" s="4"/>
      <c r="B38" s="4"/>
      <c r="C38" s="4"/>
      <c r="D38" s="4"/>
      <c r="E38" s="4"/>
      <c r="F38" s="4"/>
      <c r="G38" s="4"/>
      <c r="H38" s="4"/>
      <c r="I38" s="4"/>
      <c r="J38" s="4"/>
      <c r="K38" s="4"/>
      <c r="L38" s="4"/>
      <c r="M38" s="4"/>
      <c r="N38" s="4"/>
      <c r="O38" s="4"/>
      <c r="P38" s="4"/>
      <c r="Q38" s="4"/>
      <c r="R38" s="4"/>
      <c r="S38" s="4"/>
    </row>
    <row r="39" spans="1:19" ht="12.75">
      <c r="A39" s="4"/>
      <c r="B39" s="4"/>
      <c r="C39" s="4"/>
      <c r="D39" s="4"/>
      <c r="E39" s="4"/>
      <c r="F39" s="4"/>
      <c r="G39" s="4"/>
      <c r="H39" s="4"/>
      <c r="I39" s="4"/>
      <c r="J39" s="4"/>
      <c r="K39" s="4"/>
      <c r="L39" s="4"/>
      <c r="M39" s="4"/>
      <c r="N39" s="4"/>
      <c r="O39" s="4"/>
      <c r="P39" s="4"/>
      <c r="Q39" s="4"/>
      <c r="R39" s="4"/>
      <c r="S39" s="4"/>
    </row>
    <row r="40" spans="1:19" ht="12.75">
      <c r="A40" s="4"/>
      <c r="B40" s="4"/>
      <c r="C40" s="4"/>
      <c r="D40" s="4"/>
      <c r="E40" s="4"/>
      <c r="F40" s="4"/>
      <c r="G40" s="4"/>
      <c r="H40" s="4"/>
      <c r="I40" s="4"/>
      <c r="J40" s="4"/>
      <c r="K40" s="4"/>
      <c r="L40" s="4"/>
      <c r="M40" s="4"/>
      <c r="N40" s="4"/>
      <c r="O40" s="4"/>
      <c r="P40" s="4"/>
      <c r="Q40" s="4"/>
      <c r="R40" s="4"/>
      <c r="S40" s="4"/>
    </row>
    <row r="41" spans="1:19" ht="12.75">
      <c r="A41" s="4"/>
      <c r="B41" s="4"/>
      <c r="C41" s="4"/>
      <c r="D41" s="4"/>
      <c r="E41" s="4"/>
      <c r="F41" s="4"/>
      <c r="G41" s="4"/>
      <c r="H41" s="4"/>
      <c r="I41" s="4"/>
      <c r="J41" s="4"/>
      <c r="K41" s="4"/>
      <c r="L41" s="4"/>
      <c r="M41" s="4"/>
      <c r="N41" s="4"/>
      <c r="O41" s="4"/>
      <c r="P41" s="4"/>
      <c r="Q41" s="4"/>
      <c r="R41" s="4"/>
      <c r="S41" s="4"/>
    </row>
    <row r="42" spans="1:19" ht="12.75">
      <c r="A42" s="4"/>
      <c r="B42" s="4"/>
      <c r="C42" s="4"/>
      <c r="D42" s="4"/>
      <c r="E42" s="4"/>
      <c r="F42" s="4"/>
      <c r="G42" s="4"/>
      <c r="H42" s="4"/>
      <c r="I42" s="4"/>
      <c r="J42" s="4"/>
      <c r="K42" s="4"/>
      <c r="L42" s="4"/>
      <c r="M42" s="4"/>
      <c r="N42" s="4"/>
      <c r="O42" s="4"/>
      <c r="P42" s="4"/>
      <c r="Q42" s="4"/>
      <c r="R42" s="4"/>
      <c r="S42" s="4"/>
    </row>
    <row r="43" spans="1:19" ht="12.75">
      <c r="A43" s="4"/>
      <c r="B43" s="4"/>
      <c r="C43" s="4"/>
      <c r="D43" s="4"/>
      <c r="E43" s="4"/>
      <c r="F43" s="4"/>
      <c r="G43" s="4"/>
      <c r="H43" s="4"/>
      <c r="I43" s="4"/>
      <c r="J43" s="4"/>
      <c r="K43" s="4"/>
      <c r="L43" s="4"/>
      <c r="M43" s="4"/>
      <c r="N43" s="4"/>
      <c r="O43" s="4"/>
      <c r="P43" s="4"/>
      <c r="Q43" s="4"/>
      <c r="R43" s="4"/>
      <c r="S43" s="4"/>
    </row>
    <row r="44" spans="1:19" ht="12.75">
      <c r="A44" s="4"/>
      <c r="B44" s="4"/>
      <c r="C44" s="4"/>
      <c r="D44" s="4"/>
      <c r="E44" s="4"/>
      <c r="F44" s="4"/>
      <c r="G44" s="4"/>
      <c r="H44" s="4"/>
      <c r="I44" s="4"/>
      <c r="J44" s="4"/>
      <c r="K44" s="4"/>
      <c r="L44" s="4"/>
      <c r="M44" s="4"/>
      <c r="N44" s="4"/>
      <c r="O44" s="4"/>
      <c r="P44" s="4"/>
      <c r="Q44" s="4"/>
      <c r="R44" s="4"/>
      <c r="S44" s="4"/>
    </row>
    <row r="45" spans="1:19" ht="12.75">
      <c r="A45" s="4"/>
      <c r="B45" s="4"/>
      <c r="C45" s="4"/>
      <c r="D45" s="4"/>
      <c r="E45" s="4"/>
      <c r="F45" s="4"/>
      <c r="G45" s="4"/>
      <c r="H45" s="4"/>
      <c r="I45" s="4"/>
      <c r="J45" s="4"/>
      <c r="K45" s="4"/>
      <c r="L45" s="4"/>
      <c r="M45" s="4"/>
      <c r="N45" s="4"/>
      <c r="O45" s="4"/>
      <c r="P45" s="4"/>
      <c r="Q45" s="4"/>
      <c r="R45" s="4"/>
      <c r="S45" s="4"/>
    </row>
    <row r="46" spans="1:19" ht="12.75">
      <c r="A46" s="4"/>
      <c r="B46" s="4"/>
      <c r="C46" s="4"/>
      <c r="D46" s="4"/>
      <c r="E46" s="4"/>
      <c r="F46" s="4"/>
      <c r="G46" s="4"/>
      <c r="H46" s="4"/>
      <c r="I46" s="4"/>
      <c r="J46" s="4"/>
      <c r="K46" s="4"/>
      <c r="L46" s="4"/>
      <c r="M46" s="4"/>
      <c r="N46" s="4"/>
      <c r="O46" s="4"/>
      <c r="P46" s="4"/>
      <c r="Q46" s="4"/>
      <c r="R46" s="4"/>
      <c r="S46" s="4"/>
    </row>
    <row r="47" spans="1:19" ht="12.75">
      <c r="A47" s="4"/>
      <c r="B47" s="4"/>
      <c r="C47" s="4"/>
      <c r="D47" s="4"/>
      <c r="E47" s="4"/>
      <c r="F47" s="4"/>
      <c r="G47" s="4"/>
      <c r="H47" s="4"/>
      <c r="I47" s="4"/>
      <c r="J47" s="4"/>
      <c r="K47" s="4"/>
      <c r="L47" s="4"/>
      <c r="M47" s="4"/>
      <c r="N47" s="4"/>
      <c r="O47" s="4"/>
      <c r="P47" s="4"/>
      <c r="Q47" s="4"/>
      <c r="R47" s="4"/>
      <c r="S47" s="4"/>
    </row>
    <row r="48" spans="1:19" ht="12.75">
      <c r="A48" s="4"/>
      <c r="B48" s="4"/>
      <c r="C48" s="4"/>
      <c r="D48" s="4"/>
      <c r="E48" s="4"/>
      <c r="F48" s="4"/>
      <c r="G48" s="4"/>
      <c r="H48" s="4"/>
      <c r="I48" s="4"/>
      <c r="J48" s="4"/>
      <c r="K48" s="4"/>
      <c r="L48" s="4"/>
      <c r="M48" s="4"/>
      <c r="N48" s="4"/>
      <c r="O48" s="4"/>
      <c r="P48" s="4"/>
      <c r="Q48" s="4"/>
      <c r="R48" s="4"/>
      <c r="S48" s="4"/>
    </row>
    <row r="49" spans="1:19" ht="12.75">
      <c r="A49" s="4"/>
      <c r="B49" s="4"/>
      <c r="C49" s="4"/>
      <c r="D49" s="4"/>
      <c r="E49" s="4"/>
      <c r="F49" s="4"/>
      <c r="G49" s="4"/>
      <c r="H49" s="4"/>
      <c r="I49" s="4"/>
      <c r="J49" s="4"/>
      <c r="K49" s="4"/>
      <c r="L49" s="4"/>
      <c r="M49" s="4"/>
      <c r="N49" s="4"/>
      <c r="O49" s="4"/>
      <c r="P49" s="4"/>
      <c r="Q49" s="4"/>
      <c r="R49" s="4"/>
      <c r="S49" s="4"/>
    </row>
    <row r="50" spans="1:19" ht="12.75">
      <c r="A50" s="4"/>
      <c r="B50" s="4"/>
      <c r="C50" s="4"/>
      <c r="D50" s="4"/>
      <c r="E50" s="4"/>
      <c r="F50" s="4"/>
      <c r="G50" s="4"/>
      <c r="H50" s="4"/>
      <c r="I50" s="4"/>
      <c r="J50" s="4"/>
      <c r="K50" s="4"/>
      <c r="L50" s="4"/>
      <c r="M50" s="4"/>
      <c r="N50" s="4"/>
      <c r="O50" s="4"/>
      <c r="P50" s="4"/>
      <c r="Q50" s="4"/>
      <c r="R50" s="4"/>
      <c r="S50" s="4"/>
    </row>
    <row r="51" spans="1:19" ht="12.75">
      <c r="A51" s="4"/>
      <c r="B51" s="4"/>
      <c r="C51" s="4"/>
      <c r="D51" s="4"/>
      <c r="E51" s="4"/>
      <c r="F51" s="4"/>
      <c r="G51" s="4"/>
      <c r="H51" s="4"/>
      <c r="I51" s="4"/>
      <c r="J51" s="4"/>
      <c r="K51" s="4"/>
      <c r="L51" s="4"/>
      <c r="M51" s="4"/>
      <c r="N51" s="4"/>
      <c r="O51" s="4"/>
      <c r="P51" s="4"/>
      <c r="Q51" s="4"/>
      <c r="R51" s="4"/>
      <c r="S51" s="4"/>
    </row>
    <row r="52" spans="1:19" ht="12.75">
      <c r="A52" s="4"/>
      <c r="B52" s="4"/>
      <c r="C52" s="4"/>
      <c r="D52" s="4"/>
      <c r="E52" s="4"/>
      <c r="F52" s="4"/>
      <c r="G52" s="4"/>
      <c r="H52" s="4"/>
      <c r="I52" s="4"/>
      <c r="J52" s="4"/>
      <c r="K52" s="4"/>
      <c r="L52" s="4"/>
      <c r="M52" s="4"/>
      <c r="N52" s="4"/>
      <c r="O52" s="4"/>
      <c r="P52" s="4"/>
      <c r="Q52" s="4"/>
      <c r="R52" s="4"/>
      <c r="S52" s="4"/>
    </row>
    <row r="53" spans="1:19" ht="12.75">
      <c r="A53" s="4"/>
      <c r="B53" s="4"/>
      <c r="C53" s="4"/>
      <c r="D53" s="4"/>
      <c r="E53" s="4"/>
      <c r="F53" s="4"/>
      <c r="G53" s="4"/>
      <c r="H53" s="4"/>
      <c r="I53" s="4"/>
      <c r="J53" s="4"/>
      <c r="K53" s="4"/>
      <c r="L53" s="4"/>
      <c r="M53" s="4"/>
      <c r="N53" s="4"/>
      <c r="O53" s="4"/>
      <c r="P53" s="4"/>
      <c r="Q53" s="4"/>
      <c r="R53" s="4"/>
      <c r="S53" s="4"/>
    </row>
    <row r="54" spans="1:19" ht="12.75">
      <c r="A54" s="4"/>
      <c r="B54" s="4"/>
      <c r="C54" s="4"/>
      <c r="D54" s="4"/>
      <c r="E54" s="4"/>
      <c r="F54" s="4"/>
      <c r="G54" s="4"/>
      <c r="H54" s="4"/>
      <c r="I54" s="4"/>
      <c r="J54" s="4"/>
      <c r="K54" s="4"/>
      <c r="L54" s="4"/>
      <c r="M54" s="4"/>
      <c r="N54" s="4"/>
      <c r="O54" s="4"/>
      <c r="P54" s="4"/>
      <c r="Q54" s="4"/>
      <c r="R54" s="4"/>
      <c r="S54" s="4"/>
    </row>
    <row r="55" spans="1:19" ht="12.75">
      <c r="A55" s="4"/>
      <c r="B55" s="4"/>
      <c r="C55" s="4"/>
      <c r="D55" s="4"/>
      <c r="E55" s="4"/>
      <c r="F55" s="4"/>
      <c r="G55" s="4"/>
      <c r="H55" s="4"/>
      <c r="I55" s="4"/>
      <c r="J55" s="4"/>
      <c r="K55" s="4"/>
      <c r="L55" s="4"/>
      <c r="M55" s="4"/>
      <c r="N55" s="4"/>
      <c r="O55" s="4"/>
      <c r="P55" s="4"/>
      <c r="Q55" s="4"/>
      <c r="R55" s="4"/>
      <c r="S55" s="4"/>
    </row>
    <row r="56" spans="1:19" ht="12.75">
      <c r="A56" s="4"/>
      <c r="B56" s="4"/>
      <c r="C56" s="4"/>
      <c r="D56" s="4"/>
      <c r="E56" s="4"/>
      <c r="F56" s="4"/>
      <c r="G56" s="4"/>
      <c r="H56" s="4"/>
      <c r="I56" s="4"/>
      <c r="J56" s="4"/>
      <c r="K56" s="4"/>
      <c r="L56" s="4"/>
      <c r="M56" s="4"/>
      <c r="N56" s="4"/>
      <c r="O56" s="4"/>
      <c r="P56" s="4"/>
      <c r="Q56" s="4"/>
      <c r="R56" s="4"/>
      <c r="S56" s="4"/>
    </row>
    <row r="57" spans="1:19" ht="12.75">
      <c r="A57" s="4"/>
      <c r="B57" s="4"/>
      <c r="C57" s="4"/>
      <c r="D57" s="4"/>
      <c r="E57" s="4"/>
      <c r="F57" s="4"/>
      <c r="G57" s="4"/>
      <c r="H57" s="4"/>
      <c r="I57" s="4"/>
      <c r="J57" s="4"/>
      <c r="K57" s="4"/>
      <c r="L57" s="4"/>
      <c r="M57" s="4"/>
      <c r="N57" s="4"/>
      <c r="O57" s="4"/>
      <c r="P57" s="4"/>
      <c r="Q57" s="4"/>
      <c r="R57" s="4"/>
      <c r="S57" s="4"/>
    </row>
    <row r="58" spans="1:19" ht="12.75">
      <c r="A58" s="4"/>
      <c r="B58" s="4"/>
      <c r="C58" s="4"/>
      <c r="D58" s="4"/>
      <c r="E58" s="4"/>
      <c r="F58" s="4"/>
      <c r="G58" s="4"/>
      <c r="H58" s="4"/>
      <c r="I58" s="4"/>
      <c r="J58" s="4"/>
      <c r="K58" s="4"/>
      <c r="L58" s="4"/>
      <c r="M58" s="4"/>
      <c r="N58" s="4"/>
      <c r="O58" s="4"/>
      <c r="P58" s="4"/>
      <c r="Q58" s="4"/>
      <c r="R58" s="4"/>
      <c r="S58" s="4"/>
    </row>
    <row r="59" spans="1:19" ht="12.75">
      <c r="A59" s="4"/>
      <c r="B59" s="4"/>
      <c r="C59" s="4"/>
      <c r="D59" s="4"/>
      <c r="E59" s="4"/>
      <c r="F59" s="4"/>
      <c r="G59" s="4"/>
      <c r="H59" s="4"/>
      <c r="I59" s="4"/>
      <c r="J59" s="4"/>
      <c r="K59" s="4"/>
      <c r="L59" s="4"/>
      <c r="M59" s="4"/>
      <c r="N59" s="4"/>
      <c r="O59" s="4"/>
      <c r="P59" s="4"/>
      <c r="Q59" s="4"/>
      <c r="R59" s="4"/>
      <c r="S59" s="4"/>
    </row>
    <row r="60" spans="1:19" ht="12.75">
      <c r="A60" s="4"/>
      <c r="B60" s="4"/>
      <c r="C60" s="4"/>
      <c r="D60" s="4"/>
      <c r="E60" s="4"/>
      <c r="F60" s="4"/>
      <c r="G60" s="4"/>
      <c r="H60" s="4"/>
      <c r="I60" s="4"/>
      <c r="J60" s="4"/>
      <c r="K60" s="4"/>
      <c r="L60" s="4"/>
      <c r="M60" s="4"/>
      <c r="N60" s="4"/>
      <c r="O60" s="4"/>
      <c r="P60" s="4"/>
      <c r="Q60" s="4"/>
      <c r="R60" s="4"/>
      <c r="S60" s="4"/>
    </row>
    <row r="61" spans="1:19" ht="12.75">
      <c r="A61" s="4"/>
      <c r="B61" s="4"/>
      <c r="C61" s="4"/>
      <c r="D61" s="4"/>
      <c r="E61" s="4"/>
      <c r="F61" s="4"/>
      <c r="G61" s="4"/>
      <c r="H61" s="4"/>
      <c r="I61" s="4"/>
      <c r="J61" s="4"/>
      <c r="K61" s="4"/>
      <c r="L61" s="4"/>
      <c r="M61" s="4"/>
      <c r="N61" s="4"/>
      <c r="O61" s="4"/>
      <c r="P61" s="4"/>
      <c r="Q61" s="4"/>
      <c r="R61" s="4"/>
      <c r="S61" s="4"/>
    </row>
    <row r="62" spans="1:19" ht="12.75">
      <c r="A62" s="4"/>
      <c r="B62" s="4"/>
      <c r="C62" s="4"/>
      <c r="D62" s="4"/>
      <c r="E62" s="4"/>
      <c r="F62" s="4"/>
      <c r="G62" s="4"/>
      <c r="H62" s="4"/>
      <c r="I62" s="4"/>
      <c r="J62" s="4"/>
      <c r="K62" s="4"/>
      <c r="L62" s="4"/>
      <c r="M62" s="4"/>
      <c r="N62" s="4"/>
      <c r="O62" s="4"/>
      <c r="P62" s="4"/>
      <c r="Q62" s="4"/>
      <c r="R62" s="4"/>
      <c r="S62" s="4"/>
    </row>
    <row r="63" spans="1:19" ht="12.75">
      <c r="A63" s="4"/>
      <c r="B63" s="4"/>
      <c r="C63" s="4"/>
      <c r="D63" s="4"/>
      <c r="E63" s="4"/>
      <c r="F63" s="4"/>
      <c r="G63" s="4"/>
      <c r="H63" s="4"/>
      <c r="I63" s="4"/>
      <c r="J63" s="4"/>
      <c r="K63" s="4"/>
      <c r="L63" s="4"/>
      <c r="M63" s="4"/>
      <c r="N63" s="4"/>
      <c r="O63" s="4"/>
      <c r="P63" s="4"/>
      <c r="Q63" s="4"/>
      <c r="R63" s="4"/>
      <c r="S63" s="4"/>
    </row>
    <row r="64" spans="1:19" ht="12.75">
      <c r="A64" s="4"/>
      <c r="B64" s="4"/>
      <c r="C64" s="4"/>
      <c r="D64" s="4"/>
      <c r="E64" s="4"/>
      <c r="F64" s="4"/>
      <c r="G64" s="4"/>
      <c r="H64" s="4"/>
      <c r="I64" s="4"/>
      <c r="J64" s="4"/>
      <c r="K64" s="4"/>
      <c r="L64" s="4"/>
      <c r="M64" s="4"/>
      <c r="N64" s="4"/>
      <c r="O64" s="4"/>
      <c r="P64" s="4"/>
      <c r="Q64" s="4"/>
      <c r="R64" s="4"/>
      <c r="S64" s="4"/>
    </row>
    <row r="65" spans="1:19" ht="12.75">
      <c r="A65" s="4"/>
      <c r="B65" s="4"/>
      <c r="C65" s="4"/>
      <c r="D65" s="4"/>
      <c r="E65" s="4"/>
      <c r="F65" s="4"/>
      <c r="G65" s="4"/>
      <c r="H65" s="4"/>
      <c r="I65" s="4"/>
      <c r="J65" s="4"/>
      <c r="K65" s="4"/>
      <c r="L65" s="4"/>
      <c r="M65" s="4"/>
      <c r="N65" s="4"/>
      <c r="O65" s="4"/>
      <c r="P65" s="4"/>
      <c r="Q65" s="4"/>
      <c r="R65" s="4"/>
      <c r="S65" s="4"/>
    </row>
    <row r="66" spans="1:19" ht="12.75">
      <c r="A66" s="4"/>
      <c r="B66" s="4"/>
      <c r="C66" s="4"/>
      <c r="D66" s="4"/>
      <c r="E66" s="4"/>
      <c r="F66" s="4"/>
      <c r="G66" s="4"/>
      <c r="H66" s="4"/>
      <c r="I66" s="4"/>
      <c r="J66" s="4"/>
      <c r="K66" s="4"/>
      <c r="L66" s="4"/>
      <c r="M66" s="4"/>
      <c r="N66" s="4"/>
      <c r="O66" s="4"/>
      <c r="P66" s="4"/>
      <c r="Q66" s="4"/>
      <c r="R66" s="4"/>
      <c r="S66" s="4"/>
    </row>
    <row r="67" spans="4:19" ht="12.75">
      <c r="D67" s="4"/>
      <c r="E67" s="4"/>
      <c r="F67" s="4"/>
      <c r="G67" s="4"/>
      <c r="H67" s="4"/>
      <c r="I67" s="4"/>
      <c r="J67" s="4"/>
      <c r="K67" s="4"/>
      <c r="L67" s="4"/>
      <c r="M67" s="4"/>
      <c r="N67" s="4"/>
      <c r="O67" s="4"/>
      <c r="P67" s="4"/>
      <c r="Q67" s="4"/>
      <c r="R67" s="4"/>
      <c r="S67" s="4"/>
    </row>
  </sheetData>
  <mergeCells count="2">
    <mergeCell ref="H5:I5"/>
    <mergeCell ref="H2:K2"/>
  </mergeCells>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62"/>
  <dimension ref="A1:W68"/>
  <sheetViews>
    <sheetView workbookViewId="0" topLeftCell="A1">
      <selection activeCell="J26" sqref="J26"/>
    </sheetView>
  </sheetViews>
  <sheetFormatPr defaultColWidth="9.140625" defaultRowHeight="12.75"/>
  <cols>
    <col min="1" max="1" width="3.57421875" style="12" customWidth="1"/>
    <col min="2" max="2" width="6.57421875" style="11" bestFit="1" customWidth="1"/>
    <col min="3" max="3" width="10.28125" style="11" bestFit="1" customWidth="1"/>
    <col min="4" max="4" width="7.8515625" style="11" customWidth="1"/>
    <col min="5" max="5" width="10.140625" style="11" customWidth="1"/>
    <col min="6" max="6" width="8.00390625" style="11" customWidth="1"/>
    <col min="7" max="7" width="11.28125" style="12" customWidth="1"/>
    <col min="8" max="8" width="6.28125" style="0" customWidth="1"/>
    <col min="9" max="9" width="9.28125" style="0" customWidth="1"/>
    <col min="10" max="10" width="9.57421875" style="0" customWidth="1"/>
    <col min="11" max="11" width="5.7109375" style="0" customWidth="1"/>
  </cols>
  <sheetData>
    <row r="1" s="4" customFormat="1" ht="12.75">
      <c r="A1" s="12"/>
    </row>
    <row r="2" spans="1:15" s="4" customFormat="1" ht="12.75">
      <c r="A2" s="12"/>
      <c r="B2" s="80"/>
      <c r="C2" s="80"/>
      <c r="D2" s="80"/>
      <c r="E2" s="80"/>
      <c r="F2" s="80"/>
      <c r="G2" s="80"/>
      <c r="H2" s="12"/>
      <c r="I2" s="12"/>
      <c r="J2" s="12"/>
      <c r="K2" s="12"/>
      <c r="L2" s="12"/>
      <c r="M2" s="12"/>
      <c r="N2" s="12"/>
      <c r="O2" s="12"/>
    </row>
    <row r="3" spans="2:23" ht="12.75">
      <c r="B3" s="32" t="s">
        <v>0</v>
      </c>
      <c r="C3" s="32" t="s">
        <v>59</v>
      </c>
      <c r="D3" s="32" t="s">
        <v>60</v>
      </c>
      <c r="E3" s="32" t="s">
        <v>61</v>
      </c>
      <c r="F3" s="36" t="s">
        <v>62</v>
      </c>
      <c r="G3" s="36" t="s">
        <v>66</v>
      </c>
      <c r="M3" s="12"/>
      <c r="N3" s="12"/>
      <c r="O3" s="12"/>
      <c r="P3" s="4"/>
      <c r="Q3" s="4"/>
      <c r="R3" s="4"/>
      <c r="S3" s="4"/>
      <c r="T3" s="4"/>
      <c r="U3" s="4"/>
      <c r="V3" s="4"/>
      <c r="W3" s="4"/>
    </row>
    <row r="4" spans="2:23" ht="12.75">
      <c r="B4" s="52">
        <v>0</v>
      </c>
      <c r="C4" s="32">
        <f aca="true" t="shared" si="0" ref="C4:C34">L$23-L$22*B4</f>
        <v>20</v>
      </c>
      <c r="D4" s="33"/>
      <c r="E4" s="32">
        <f aca="true" t="shared" si="1" ref="E4:E34">M$23-M$22*B4</f>
        <v>30</v>
      </c>
      <c r="F4" s="36"/>
      <c r="G4" s="32">
        <f aca="true" t="shared" si="2" ref="G4:G34">(((1-J$24)/J$24)^J$25)*M$22^J$25*B4</f>
        <v>0</v>
      </c>
      <c r="M4" s="12"/>
      <c r="N4" s="12"/>
      <c r="O4" s="12"/>
      <c r="P4" s="4"/>
      <c r="Q4" s="4"/>
      <c r="R4" s="4"/>
      <c r="S4" s="4"/>
      <c r="T4" s="4"/>
      <c r="U4" s="4"/>
      <c r="V4" s="4"/>
      <c r="W4" s="4"/>
    </row>
    <row r="5" spans="2:23" ht="12.75">
      <c r="B5" s="52">
        <f aca="true" t="shared" si="3" ref="B5:B34">B4+1.5</f>
        <v>1.5</v>
      </c>
      <c r="C5" s="32">
        <f t="shared" si="0"/>
        <v>18.65</v>
      </c>
      <c r="D5" s="33"/>
      <c r="E5" s="32">
        <f t="shared" si="1"/>
        <v>28.65</v>
      </c>
      <c r="F5" s="36"/>
      <c r="G5" s="32">
        <f t="shared" si="2"/>
        <v>2.7419664320744848</v>
      </c>
      <c r="M5" s="12"/>
      <c r="N5" s="12"/>
      <c r="O5" s="12"/>
      <c r="P5" s="4"/>
      <c r="Q5" s="4"/>
      <c r="R5" s="4"/>
      <c r="S5" s="4"/>
      <c r="T5" s="4"/>
      <c r="U5" s="4"/>
      <c r="V5" s="4"/>
      <c r="W5" s="4"/>
    </row>
    <row r="6" spans="2:23" ht="12.75">
      <c r="B6" s="52">
        <f t="shared" si="3"/>
        <v>3</v>
      </c>
      <c r="C6" s="32">
        <f t="shared" si="0"/>
        <v>17.3</v>
      </c>
      <c r="D6" s="33"/>
      <c r="E6" s="32">
        <f t="shared" si="1"/>
        <v>27.3</v>
      </c>
      <c r="F6" s="36"/>
      <c r="G6" s="32">
        <f t="shared" si="2"/>
        <v>5.4839328641489695</v>
      </c>
      <c r="M6" s="12"/>
      <c r="N6" s="12"/>
      <c r="O6" s="12"/>
      <c r="P6" s="4"/>
      <c r="Q6" s="4"/>
      <c r="R6" s="4"/>
      <c r="S6" s="4"/>
      <c r="T6" s="4"/>
      <c r="U6" s="4"/>
      <c r="V6" s="4"/>
      <c r="W6" s="4"/>
    </row>
    <row r="7" spans="2:23" ht="12.75">
      <c r="B7" s="52">
        <f t="shared" si="3"/>
        <v>4.5</v>
      </c>
      <c r="C7" s="32">
        <f t="shared" si="0"/>
        <v>15.95</v>
      </c>
      <c r="D7" s="33"/>
      <c r="E7" s="32">
        <f t="shared" si="1"/>
        <v>25.95</v>
      </c>
      <c r="F7" s="36">
        <f aca="true" t="shared" si="4" ref="F7:F34">(((M$26/J$23)^-J$26-J$24*B7^-J$26)/(1-J$24))^-(1/J$26)</f>
        <v>27.85547169568315</v>
      </c>
      <c r="G7" s="32">
        <f t="shared" si="2"/>
        <v>8.225899296223455</v>
      </c>
      <c r="M7" s="12"/>
      <c r="N7" s="12"/>
      <c r="O7" s="12"/>
      <c r="P7" s="4"/>
      <c r="Q7" s="4"/>
      <c r="R7" s="4"/>
      <c r="S7" s="4"/>
      <c r="T7" s="4"/>
      <c r="U7" s="4"/>
      <c r="V7" s="4"/>
      <c r="W7" s="4"/>
    </row>
    <row r="8" spans="2:23" ht="12.75">
      <c r="B8" s="52">
        <f t="shared" si="3"/>
        <v>6</v>
      </c>
      <c r="C8" s="32">
        <f t="shared" si="0"/>
        <v>14.6</v>
      </c>
      <c r="D8" s="33">
        <f aca="true" t="shared" si="5" ref="D8:D34">(((L$26/J$23)^-J$26-J$24*B8^-J$26)/(1-J$24))^-(1/J$26)</f>
        <v>14.68904872390701</v>
      </c>
      <c r="E8" s="32">
        <f t="shared" si="1"/>
        <v>24.6</v>
      </c>
      <c r="F8" s="36">
        <f t="shared" si="4"/>
        <v>25.60295296518667</v>
      </c>
      <c r="G8" s="32">
        <f t="shared" si="2"/>
        <v>10.967865728297939</v>
      </c>
      <c r="M8" s="12"/>
      <c r="N8" s="12"/>
      <c r="O8" s="12"/>
      <c r="P8" s="4"/>
      <c r="Q8" s="4"/>
      <c r="R8" s="4"/>
      <c r="S8" s="4"/>
      <c r="T8" s="4"/>
      <c r="U8" s="4"/>
      <c r="V8" s="4"/>
      <c r="W8" s="4"/>
    </row>
    <row r="9" spans="2:23" ht="12.75">
      <c r="B9" s="52">
        <f t="shared" si="3"/>
        <v>7.5</v>
      </c>
      <c r="C9" s="32">
        <f t="shared" si="0"/>
        <v>13.25</v>
      </c>
      <c r="D9" s="33">
        <f t="shared" si="5"/>
        <v>13.25128015440037</v>
      </c>
      <c r="E9" s="32">
        <f t="shared" si="1"/>
        <v>23.25</v>
      </c>
      <c r="F9" s="36">
        <f t="shared" si="4"/>
        <v>23.695565640175694</v>
      </c>
      <c r="G9" s="32">
        <f t="shared" si="2"/>
        <v>13.709832160372425</v>
      </c>
      <c r="M9" s="12"/>
      <c r="N9" s="12"/>
      <c r="O9" s="12"/>
      <c r="P9" s="4"/>
      <c r="Q9" s="4"/>
      <c r="R9" s="4"/>
      <c r="S9" s="4"/>
      <c r="T9" s="4"/>
      <c r="U9" s="4"/>
      <c r="V9" s="4"/>
      <c r="W9" s="4"/>
    </row>
    <row r="10" spans="2:23" ht="12.75">
      <c r="B10" s="52">
        <f t="shared" si="3"/>
        <v>9</v>
      </c>
      <c r="C10" s="32">
        <f t="shared" si="0"/>
        <v>11.9</v>
      </c>
      <c r="D10" s="33">
        <f t="shared" si="5"/>
        <v>12.014251904217273</v>
      </c>
      <c r="E10" s="32">
        <f t="shared" si="1"/>
        <v>21.9</v>
      </c>
      <c r="F10" s="36">
        <f t="shared" si="4"/>
        <v>22.033573101241135</v>
      </c>
      <c r="G10" s="32">
        <f t="shared" si="2"/>
        <v>16.45179859244691</v>
      </c>
      <c r="M10" s="12"/>
      <c r="N10" s="12"/>
      <c r="O10" s="12"/>
      <c r="P10" s="4"/>
      <c r="Q10" s="4"/>
      <c r="R10" s="4"/>
      <c r="S10" s="4"/>
      <c r="T10" s="4"/>
      <c r="U10" s="4"/>
      <c r="V10" s="4"/>
      <c r="W10" s="4"/>
    </row>
    <row r="11" spans="2:23" ht="12.75">
      <c r="B11" s="52">
        <f t="shared" si="3"/>
        <v>10.5</v>
      </c>
      <c r="C11" s="32">
        <f t="shared" si="0"/>
        <v>10.549999999999999</v>
      </c>
      <c r="D11" s="33">
        <f t="shared" si="5"/>
        <v>10.929480590853096</v>
      </c>
      <c r="E11" s="32">
        <f t="shared" si="1"/>
        <v>20.549999999999997</v>
      </c>
      <c r="F11" s="36">
        <f t="shared" si="4"/>
        <v>20.557683250674803</v>
      </c>
      <c r="G11" s="32">
        <f t="shared" si="2"/>
        <v>19.193765024521394</v>
      </c>
      <c r="M11" s="12"/>
      <c r="N11" s="12"/>
      <c r="O11" s="12"/>
      <c r="P11" s="4"/>
      <c r="Q11" s="4"/>
      <c r="R11" s="4"/>
      <c r="S11" s="4"/>
      <c r="T11" s="4"/>
      <c r="U11" s="4"/>
      <c r="V11" s="4"/>
      <c r="W11" s="4"/>
    </row>
    <row r="12" spans="2:23" ht="12.75">
      <c r="B12" s="52">
        <f t="shared" si="3"/>
        <v>12</v>
      </c>
      <c r="C12" s="32">
        <f t="shared" si="0"/>
        <v>9.2</v>
      </c>
      <c r="D12" s="33">
        <f t="shared" si="5"/>
        <v>9.96535556659819</v>
      </c>
      <c r="E12" s="32">
        <f t="shared" si="1"/>
        <v>19.2</v>
      </c>
      <c r="F12" s="36">
        <f t="shared" si="4"/>
        <v>19.229239913114505</v>
      </c>
      <c r="G12" s="32">
        <f t="shared" si="2"/>
        <v>21.935731456595878</v>
      </c>
      <c r="M12" s="12"/>
      <c r="N12" s="12"/>
      <c r="O12" s="12"/>
      <c r="P12" s="4"/>
      <c r="Q12" s="4"/>
      <c r="R12" s="4"/>
      <c r="S12" s="4"/>
      <c r="T12" s="4"/>
      <c r="U12" s="4"/>
      <c r="V12" s="4"/>
      <c r="W12" s="4"/>
    </row>
    <row r="13" spans="2:23" ht="12.75">
      <c r="B13" s="52">
        <f t="shared" si="3"/>
        <v>13.5</v>
      </c>
      <c r="C13" s="32">
        <f t="shared" si="0"/>
        <v>7.85</v>
      </c>
      <c r="D13" s="33">
        <f t="shared" si="5"/>
        <v>9.09990729740041</v>
      </c>
      <c r="E13" s="32">
        <f t="shared" si="1"/>
        <v>17.85</v>
      </c>
      <c r="F13" s="32">
        <f t="shared" si="4"/>
        <v>18.021377870242798</v>
      </c>
      <c r="G13" s="32">
        <f t="shared" si="2"/>
        <v>24.677697888670362</v>
      </c>
      <c r="M13" s="12"/>
      <c r="N13" s="12"/>
      <c r="O13" s="12"/>
      <c r="P13" s="4"/>
      <c r="Q13" s="4"/>
      <c r="R13" s="4"/>
      <c r="S13" s="4"/>
      <c r="T13" s="4"/>
      <c r="U13" s="4"/>
      <c r="V13" s="4"/>
      <c r="W13" s="4"/>
    </row>
    <row r="14" spans="2:23" ht="12.75">
      <c r="B14" s="52">
        <f t="shared" si="3"/>
        <v>15</v>
      </c>
      <c r="C14" s="32">
        <f t="shared" si="0"/>
        <v>6.5</v>
      </c>
      <c r="D14" s="33">
        <f t="shared" si="5"/>
        <v>8.317131701675905</v>
      </c>
      <c r="E14" s="32">
        <f t="shared" si="1"/>
        <v>16.5</v>
      </c>
      <c r="F14" s="32">
        <f t="shared" si="4"/>
        <v>16.91452730994311</v>
      </c>
      <c r="G14" s="32">
        <f t="shared" si="2"/>
        <v>27.41966432074485</v>
      </c>
      <c r="H14" s="4"/>
      <c r="I14" s="4"/>
      <c r="J14" s="4"/>
      <c r="K14" s="4"/>
      <c r="L14" s="4"/>
      <c r="M14" s="12"/>
      <c r="N14" s="12"/>
      <c r="O14" s="12"/>
      <c r="P14" s="4"/>
      <c r="Q14" s="4"/>
      <c r="R14" s="4"/>
      <c r="S14" s="4"/>
      <c r="T14" s="4"/>
      <c r="U14" s="4"/>
      <c r="V14" s="4"/>
      <c r="W14" s="4"/>
    </row>
    <row r="15" spans="2:23" ht="12.75">
      <c r="B15" s="52">
        <f t="shared" si="3"/>
        <v>16.5</v>
      </c>
      <c r="C15" s="32">
        <f t="shared" si="0"/>
        <v>5.15</v>
      </c>
      <c r="D15" s="33">
        <f t="shared" si="5"/>
        <v>7.604941434457545</v>
      </c>
      <c r="E15" s="32">
        <f t="shared" si="1"/>
        <v>15.15</v>
      </c>
      <c r="F15" s="32">
        <f t="shared" si="4"/>
        <v>15.893908195110711</v>
      </c>
      <c r="G15" s="32">
        <f t="shared" si="2"/>
        <v>30.161630752819335</v>
      </c>
      <c r="H15" s="4"/>
      <c r="I15" s="6"/>
      <c r="J15" s="4"/>
      <c r="K15" s="4"/>
      <c r="L15" s="4"/>
      <c r="M15" s="12"/>
      <c r="N15" s="12"/>
      <c r="O15" s="12"/>
      <c r="P15" s="4"/>
      <c r="Q15" s="4"/>
      <c r="R15" s="4"/>
      <c r="S15" s="4"/>
      <c r="T15" s="4"/>
      <c r="U15" s="4"/>
      <c r="V15" s="4"/>
      <c r="W15" s="4"/>
    </row>
    <row r="16" spans="2:23" ht="12.75">
      <c r="B16" s="52">
        <f t="shared" si="3"/>
        <v>18</v>
      </c>
      <c r="C16" s="32">
        <f t="shared" si="0"/>
        <v>3.8000000000000007</v>
      </c>
      <c r="D16" s="33">
        <f t="shared" si="5"/>
        <v>6.953941922821057</v>
      </c>
      <c r="E16" s="32">
        <f t="shared" si="1"/>
        <v>13.8</v>
      </c>
      <c r="F16" s="32">
        <f t="shared" si="4"/>
        <v>14.948033362577965</v>
      </c>
      <c r="G16" s="32">
        <f t="shared" si="2"/>
        <v>32.90359718489382</v>
      </c>
      <c r="H16" s="4"/>
      <c r="I16" s="4"/>
      <c r="J16" s="4"/>
      <c r="K16" s="4"/>
      <c r="L16" s="4"/>
      <c r="M16" s="12"/>
      <c r="N16" s="12"/>
      <c r="O16" s="12"/>
      <c r="P16" s="4"/>
      <c r="Q16" s="4"/>
      <c r="R16" s="4"/>
      <c r="S16" s="4"/>
      <c r="T16" s="4"/>
      <c r="U16" s="4"/>
      <c r="V16" s="4"/>
      <c r="W16" s="4"/>
    </row>
    <row r="17" spans="2:23" ht="12.75">
      <c r="B17" s="52">
        <f t="shared" si="3"/>
        <v>19.5</v>
      </c>
      <c r="C17" s="32">
        <f t="shared" si="0"/>
        <v>2.4499999999999993</v>
      </c>
      <c r="D17" s="33">
        <f t="shared" si="5"/>
        <v>6.356659327690893</v>
      </c>
      <c r="E17" s="32">
        <f t="shared" si="1"/>
        <v>12.45</v>
      </c>
      <c r="F17" s="32">
        <f t="shared" si="4"/>
        <v>14.067764347724932</v>
      </c>
      <c r="G17" s="32">
        <f t="shared" si="2"/>
        <v>35.6455636169683</v>
      </c>
      <c r="H17" s="4"/>
      <c r="I17" s="4"/>
      <c r="J17" s="4"/>
      <c r="K17" s="4"/>
      <c r="L17" s="4"/>
      <c r="M17" s="12"/>
      <c r="N17" s="12"/>
      <c r="O17" s="12"/>
      <c r="P17" s="4"/>
      <c r="Q17" s="4"/>
      <c r="R17" s="4"/>
      <c r="S17" s="4"/>
      <c r="T17" s="4"/>
      <c r="U17" s="4"/>
      <c r="V17" s="4"/>
      <c r="W17" s="4"/>
    </row>
    <row r="18" spans="2:23" ht="12.75">
      <c r="B18" s="52">
        <f t="shared" si="3"/>
        <v>21</v>
      </c>
      <c r="C18" s="32">
        <f t="shared" si="0"/>
        <v>1.0999999999999979</v>
      </c>
      <c r="D18" s="33">
        <f t="shared" si="5"/>
        <v>5.807031797310244</v>
      </c>
      <c r="E18" s="32">
        <f t="shared" si="1"/>
        <v>11.099999999999998</v>
      </c>
      <c r="F18" s="32">
        <f t="shared" si="4"/>
        <v>13.24568921913888</v>
      </c>
      <c r="G18" s="32">
        <f t="shared" si="2"/>
        <v>38.38753004904279</v>
      </c>
      <c r="H18" s="4"/>
      <c r="I18" s="4"/>
      <c r="J18" s="4"/>
      <c r="K18" s="4"/>
      <c r="L18" s="4"/>
      <c r="M18" s="12"/>
      <c r="N18" s="12"/>
      <c r="O18" s="12"/>
      <c r="P18" s="4"/>
      <c r="Q18" s="4"/>
      <c r="R18" s="4"/>
      <c r="S18" s="4"/>
      <c r="T18" s="4"/>
      <c r="U18" s="4"/>
      <c r="V18" s="4"/>
      <c r="W18" s="4"/>
    </row>
    <row r="19" spans="2:23" ht="12.75">
      <c r="B19" s="52">
        <f t="shared" si="3"/>
        <v>22.5</v>
      </c>
      <c r="C19" s="32">
        <f t="shared" si="0"/>
        <v>-0.25</v>
      </c>
      <c r="D19" s="33">
        <f t="shared" si="5"/>
        <v>5.300061924664658</v>
      </c>
      <c r="E19" s="32">
        <f t="shared" si="1"/>
        <v>9.75</v>
      </c>
      <c r="F19" s="32">
        <f t="shared" si="4"/>
        <v>12.475697564103717</v>
      </c>
      <c r="G19" s="32">
        <f t="shared" si="2"/>
        <v>41.12949648111727</v>
      </c>
      <c r="H19" s="4"/>
      <c r="I19" s="4"/>
      <c r="J19" s="4"/>
      <c r="K19" s="4"/>
      <c r="L19" s="4"/>
      <c r="M19" s="12"/>
      <c r="N19" s="12"/>
      <c r="O19" s="12"/>
      <c r="P19" s="4"/>
      <c r="Q19" s="4"/>
      <c r="R19" s="4"/>
      <c r="S19" s="4"/>
      <c r="T19" s="4"/>
      <c r="U19" s="4"/>
      <c r="V19" s="4"/>
      <c r="W19" s="4"/>
    </row>
    <row r="20" spans="2:23" ht="12.75">
      <c r="B20" s="52">
        <f t="shared" si="3"/>
        <v>24</v>
      </c>
      <c r="C20" s="32">
        <f t="shared" si="0"/>
        <v>-1.6000000000000014</v>
      </c>
      <c r="D20" s="33">
        <f t="shared" si="5"/>
        <v>4.83157204699823</v>
      </c>
      <c r="E20" s="32">
        <f t="shared" si="1"/>
        <v>8.399999999999999</v>
      </c>
      <c r="F20" s="32">
        <f t="shared" si="4"/>
        <v>11.752681246247077</v>
      </c>
      <c r="G20" s="32">
        <f t="shared" si="2"/>
        <v>43.871462913191756</v>
      </c>
      <c r="H20" s="4"/>
      <c r="I20" s="4"/>
      <c r="J20" s="4"/>
      <c r="K20" s="4"/>
      <c r="L20" s="4"/>
      <c r="M20" s="12"/>
      <c r="N20" s="12"/>
      <c r="O20" s="12"/>
      <c r="P20" s="4"/>
      <c r="Q20" s="4"/>
      <c r="R20" s="4"/>
      <c r="S20" s="4"/>
      <c r="T20" s="4"/>
      <c r="U20" s="4"/>
      <c r="V20" s="4"/>
      <c r="W20" s="4"/>
    </row>
    <row r="21" spans="2:23" ht="13.5" thickBot="1">
      <c r="B21" s="52">
        <f t="shared" si="3"/>
        <v>25.5</v>
      </c>
      <c r="C21" s="32">
        <f t="shared" si="0"/>
        <v>-2.9499999999999993</v>
      </c>
      <c r="D21" s="33">
        <f t="shared" si="5"/>
        <v>4.398027467099359</v>
      </c>
      <c r="E21" s="32">
        <f t="shared" si="1"/>
        <v>7.050000000000001</v>
      </c>
      <c r="F21" s="32">
        <f t="shared" si="4"/>
        <v>11.072318227245802</v>
      </c>
      <c r="G21" s="32">
        <f t="shared" si="2"/>
        <v>46.61342934526624</v>
      </c>
      <c r="H21" s="4"/>
      <c r="I21" s="4"/>
      <c r="J21" s="4"/>
      <c r="K21" s="4"/>
      <c r="L21" s="4"/>
      <c r="M21" s="12"/>
      <c r="N21" s="12"/>
      <c r="O21" s="12"/>
      <c r="P21" s="4"/>
      <c r="Q21" s="4"/>
      <c r="R21" s="4"/>
      <c r="S21" s="4"/>
      <c r="T21" s="4"/>
      <c r="U21" s="4"/>
      <c r="V21" s="4"/>
      <c r="W21" s="4"/>
    </row>
    <row r="22" spans="2:23" ht="15.75">
      <c r="B22" s="52">
        <f t="shared" si="3"/>
        <v>27</v>
      </c>
      <c r="C22" s="32">
        <f t="shared" si="0"/>
        <v>-4.300000000000001</v>
      </c>
      <c r="D22" s="33">
        <f t="shared" si="5"/>
        <v>3.996405881037723</v>
      </c>
      <c r="E22" s="32">
        <f t="shared" si="1"/>
        <v>5.699999999999999</v>
      </c>
      <c r="F22" s="32">
        <f t="shared" si="4"/>
        <v>10.430912894833883</v>
      </c>
      <c r="G22" s="32">
        <f t="shared" si="2"/>
        <v>49.355395777340725</v>
      </c>
      <c r="H22" s="77" t="s">
        <v>58</v>
      </c>
      <c r="I22" s="78"/>
      <c r="J22" s="79"/>
      <c r="K22" s="14" t="s">
        <v>18</v>
      </c>
      <c r="L22" s="30">
        <f>UtilityMaximization!E2</f>
        <v>0.9</v>
      </c>
      <c r="M22" s="15">
        <f>L22</f>
        <v>0.9</v>
      </c>
      <c r="N22" s="12"/>
      <c r="O22" s="12"/>
      <c r="P22" s="4"/>
      <c r="Q22" s="4"/>
      <c r="R22" s="4"/>
      <c r="S22" s="4"/>
      <c r="T22" s="4"/>
      <c r="U22" s="4"/>
      <c r="V22" s="4"/>
      <c r="W22" s="4"/>
    </row>
    <row r="23" spans="2:23" ht="12.75">
      <c r="B23" s="52">
        <f t="shared" si="3"/>
        <v>28.5</v>
      </c>
      <c r="C23" s="32">
        <f t="shared" si="0"/>
        <v>-5.650000000000002</v>
      </c>
      <c r="D23" s="33">
        <f t="shared" si="5"/>
        <v>3.624099054853913</v>
      </c>
      <c r="E23" s="32">
        <f t="shared" si="1"/>
        <v>4.349999999999998</v>
      </c>
      <c r="F23" s="32">
        <f t="shared" si="4"/>
        <v>9.825275827382022</v>
      </c>
      <c r="G23" s="32">
        <f t="shared" si="2"/>
        <v>52.09736220941521</v>
      </c>
      <c r="H23" s="83" t="s">
        <v>26</v>
      </c>
      <c r="I23" s="68"/>
      <c r="J23" s="18">
        <f>UtilityMaximization!K3</f>
        <v>10</v>
      </c>
      <c r="K23" s="45" t="s">
        <v>2</v>
      </c>
      <c r="L23" s="46">
        <f>UtilityMaximization!E3</f>
        <v>20</v>
      </c>
      <c r="M23" s="47">
        <v>30</v>
      </c>
      <c r="N23" s="12"/>
      <c r="O23" s="12"/>
      <c r="P23" s="4"/>
      <c r="Q23" s="4"/>
      <c r="R23" s="4"/>
      <c r="S23" s="4"/>
      <c r="T23" s="4"/>
      <c r="U23" s="4"/>
      <c r="V23" s="4"/>
      <c r="W23" s="4"/>
    </row>
    <row r="24" spans="2:23" ht="12.75">
      <c r="B24" s="52">
        <f t="shared" si="3"/>
        <v>30</v>
      </c>
      <c r="C24" s="32">
        <f t="shared" si="0"/>
        <v>-7</v>
      </c>
      <c r="D24" s="33">
        <f t="shared" si="5"/>
        <v>3.278837518089636</v>
      </c>
      <c r="E24" s="32">
        <f t="shared" si="1"/>
        <v>3</v>
      </c>
      <c r="F24" s="32">
        <f t="shared" si="4"/>
        <v>9.252631704499143</v>
      </c>
      <c r="G24" s="32">
        <f t="shared" si="2"/>
        <v>54.8393286414897</v>
      </c>
      <c r="H24" s="83" t="s">
        <v>27</v>
      </c>
      <c r="I24" s="68"/>
      <c r="J24" s="18">
        <f>UtilityMaximization!K4</f>
        <v>0.4</v>
      </c>
      <c r="K24" s="16" t="s">
        <v>3</v>
      </c>
      <c r="L24" s="32">
        <f>UtilityMaximization!E4</f>
        <v>7.331438682985636</v>
      </c>
      <c r="M24" s="37">
        <v>10.997158028272974</v>
      </c>
      <c r="N24" s="12"/>
      <c r="O24" s="12"/>
      <c r="P24" s="4"/>
      <c r="Q24" s="4"/>
      <c r="R24" s="4"/>
      <c r="S24" s="4"/>
      <c r="T24" s="4"/>
      <c r="U24" s="4"/>
      <c r="V24" s="4"/>
      <c r="W24" s="4"/>
    </row>
    <row r="25" spans="2:23" ht="12.75">
      <c r="B25" s="52">
        <f t="shared" si="3"/>
        <v>31.5</v>
      </c>
      <c r="C25" s="32">
        <f t="shared" si="0"/>
        <v>-8.350000000000001</v>
      </c>
      <c r="D25" s="33">
        <f t="shared" si="5"/>
        <v>2.9586320122794083</v>
      </c>
      <c r="E25" s="32">
        <f t="shared" si="1"/>
        <v>1.6499999999999986</v>
      </c>
      <c r="F25" s="32">
        <f t="shared" si="4"/>
        <v>8.710547705658326</v>
      </c>
      <c r="G25" s="32">
        <f t="shared" si="2"/>
        <v>57.581295073564185</v>
      </c>
      <c r="H25" s="83" t="s">
        <v>23</v>
      </c>
      <c r="I25" s="68"/>
      <c r="J25" s="18">
        <v>2.01</v>
      </c>
      <c r="K25" s="16" t="s">
        <v>4</v>
      </c>
      <c r="L25" s="32">
        <f>UtilityMaximization!E5</f>
        <v>13.401705131547963</v>
      </c>
      <c r="M25" s="37">
        <v>20.1025577086014</v>
      </c>
      <c r="N25" s="12"/>
      <c r="O25" s="12"/>
      <c r="P25" s="4"/>
      <c r="Q25" s="4"/>
      <c r="R25" s="4"/>
      <c r="S25" s="4"/>
      <c r="T25" s="4"/>
      <c r="U25" s="4"/>
      <c r="V25" s="4"/>
      <c r="W25" s="4"/>
    </row>
    <row r="26" spans="2:23" ht="13.5" thickBot="1">
      <c r="B26" s="52">
        <f t="shared" si="3"/>
        <v>33</v>
      </c>
      <c r="C26" s="32">
        <f t="shared" si="0"/>
        <v>-9.7</v>
      </c>
      <c r="D26" s="33">
        <f t="shared" si="5"/>
        <v>2.661727351809815</v>
      </c>
      <c r="E26" s="32">
        <f t="shared" si="1"/>
        <v>0.3000000000000007</v>
      </c>
      <c r="F26" s="32">
        <f t="shared" si="4"/>
        <v>8.19687708606067</v>
      </c>
      <c r="G26" s="32">
        <f t="shared" si="2"/>
        <v>60.32326150563867</v>
      </c>
      <c r="H26" s="81" t="s">
        <v>24</v>
      </c>
      <c r="I26" s="82"/>
      <c r="J26" s="20">
        <f>(1-J25)/J25</f>
        <v>-0.5024875621890547</v>
      </c>
      <c r="K26" s="31" t="s">
        <v>5</v>
      </c>
      <c r="L26" s="38">
        <f>UtilityMaximization!E6</f>
        <v>107.56660500777483</v>
      </c>
      <c r="M26" s="39">
        <f>J23*($J$24*M24^-$J$26+(1-$J$24)*M25^-$J$26)^-(1/$J$26)</f>
        <v>161.34990759069427</v>
      </c>
      <c r="N26" s="12"/>
      <c r="O26" s="12"/>
      <c r="P26" s="4"/>
      <c r="Q26" s="4"/>
      <c r="R26" s="4"/>
      <c r="S26" s="4"/>
      <c r="T26" s="4"/>
      <c r="U26" s="4"/>
      <c r="V26" s="4"/>
      <c r="W26" s="4"/>
    </row>
    <row r="27" spans="2:23" ht="12.75">
      <c r="B27" s="52">
        <f t="shared" si="3"/>
        <v>34.5</v>
      </c>
      <c r="C27" s="32">
        <f t="shared" si="0"/>
        <v>-11.05</v>
      </c>
      <c r="D27" s="33">
        <f t="shared" si="5"/>
        <v>2.386565625462869</v>
      </c>
      <c r="E27" s="32">
        <f t="shared" si="1"/>
        <v>-1.0500000000000007</v>
      </c>
      <c r="F27" s="32">
        <f t="shared" si="4"/>
        <v>7.709714173185414</v>
      </c>
      <c r="G27" s="32">
        <f t="shared" si="2"/>
        <v>63.06522793771315</v>
      </c>
      <c r="H27" s="65" t="s">
        <v>52</v>
      </c>
      <c r="I27" s="75"/>
      <c r="J27" s="62"/>
      <c r="K27" s="62"/>
      <c r="L27" s="62"/>
      <c r="M27" s="62"/>
      <c r="N27" s="12"/>
      <c r="O27" s="12"/>
      <c r="P27" s="4"/>
      <c r="Q27" s="4"/>
      <c r="R27" s="4"/>
      <c r="S27" s="4"/>
      <c r="T27" s="4"/>
      <c r="U27" s="4"/>
      <c r="V27" s="4"/>
      <c r="W27" s="4"/>
    </row>
    <row r="28" spans="2:23" ht="12.75">
      <c r="B28" s="52">
        <f t="shared" si="3"/>
        <v>36</v>
      </c>
      <c r="C28" s="32">
        <f t="shared" si="0"/>
        <v>-12.399999999999999</v>
      </c>
      <c r="D28" s="33">
        <f t="shared" si="5"/>
        <v>2.13175652711069</v>
      </c>
      <c r="E28" s="32">
        <f t="shared" si="1"/>
        <v>-2.3999999999999986</v>
      </c>
      <c r="F28" s="32">
        <f t="shared" si="4"/>
        <v>7.247358079342838</v>
      </c>
      <c r="G28" s="32">
        <f t="shared" si="2"/>
        <v>65.80719436978764</v>
      </c>
      <c r="H28" s="12"/>
      <c r="I28" s="12"/>
      <c r="J28" s="12"/>
      <c r="K28" s="12"/>
      <c r="L28" s="12"/>
      <c r="M28" s="12"/>
      <c r="N28" s="12"/>
      <c r="O28" s="12"/>
      <c r="P28" s="4"/>
      <c r="Q28" s="4"/>
      <c r="R28" s="4"/>
      <c r="S28" s="4"/>
      <c r="T28" s="4"/>
      <c r="U28" s="4"/>
      <c r="V28" s="4"/>
      <c r="W28" s="4"/>
    </row>
    <row r="29" spans="2:23" ht="12.75">
      <c r="B29" s="52">
        <f t="shared" si="3"/>
        <v>37.5</v>
      </c>
      <c r="C29" s="32">
        <f t="shared" si="0"/>
        <v>-13.75</v>
      </c>
      <c r="D29" s="33">
        <f t="shared" si="5"/>
        <v>1.8960531977119044</v>
      </c>
      <c r="E29" s="32">
        <f t="shared" si="1"/>
        <v>-3.75</v>
      </c>
      <c r="F29" s="32">
        <f t="shared" si="4"/>
        <v>6.8082831515162985</v>
      </c>
      <c r="G29" s="32">
        <f t="shared" si="2"/>
        <v>68.54916080186212</v>
      </c>
      <c r="H29" s="12"/>
      <c r="I29" s="12"/>
      <c r="J29" s="12"/>
      <c r="K29" s="12"/>
      <c r="L29" s="12"/>
      <c r="M29" s="12"/>
      <c r="N29" s="12"/>
      <c r="O29" s="12"/>
      <c r="P29" s="4"/>
      <c r="Q29" s="4"/>
      <c r="R29" s="4"/>
      <c r="S29" s="4"/>
      <c r="T29" s="4"/>
      <c r="U29" s="4"/>
      <c r="V29" s="4"/>
      <c r="W29" s="4"/>
    </row>
    <row r="30" spans="2:23" ht="12.75">
      <c r="B30" s="52">
        <f t="shared" si="3"/>
        <v>39</v>
      </c>
      <c r="C30" s="32">
        <f t="shared" si="0"/>
        <v>-15.100000000000001</v>
      </c>
      <c r="D30" s="33">
        <f t="shared" si="5"/>
        <v>1.6783323778584718</v>
      </c>
      <c r="E30" s="32">
        <f t="shared" si="1"/>
        <v>-5.100000000000001</v>
      </c>
      <c r="F30" s="32">
        <f t="shared" si="4"/>
        <v>6.391114689773898</v>
      </c>
      <c r="G30" s="32">
        <f t="shared" si="2"/>
        <v>71.2911272339366</v>
      </c>
      <c r="H30" s="12"/>
      <c r="I30" s="12"/>
      <c r="J30" s="12"/>
      <c r="K30" s="12"/>
      <c r="L30" s="12"/>
      <c r="M30" s="12"/>
      <c r="N30" s="12"/>
      <c r="O30" s="12"/>
      <c r="P30" s="4"/>
      <c r="Q30" s="4"/>
      <c r="R30" s="4"/>
      <c r="S30" s="4"/>
      <c r="T30" s="4"/>
      <c r="U30" s="4"/>
      <c r="V30" s="4"/>
      <c r="W30" s="4"/>
    </row>
    <row r="31" spans="2:23" ht="12.75">
      <c r="B31" s="52">
        <f t="shared" si="3"/>
        <v>40.5</v>
      </c>
      <c r="C31" s="32">
        <f t="shared" si="0"/>
        <v>-16.450000000000003</v>
      </c>
      <c r="D31" s="33">
        <f t="shared" si="5"/>
        <v>1.4775779679242034</v>
      </c>
      <c r="E31" s="32">
        <f t="shared" si="1"/>
        <v>-6.450000000000003</v>
      </c>
      <c r="F31" s="32">
        <f t="shared" si="4"/>
        <v>5.994608829605131</v>
      </c>
      <c r="G31" s="32">
        <f t="shared" si="2"/>
        <v>74.0330936660111</v>
      </c>
      <c r="H31" s="12"/>
      <c r="I31" s="12"/>
      <c r="J31" s="12"/>
      <c r="K31" s="12"/>
      <c r="L31" s="12"/>
      <c r="M31" s="12"/>
      <c r="N31" s="12"/>
      <c r="O31" s="12"/>
      <c r="P31" s="4"/>
      <c r="Q31" s="4"/>
      <c r="R31" s="4"/>
      <c r="S31" s="4"/>
      <c r="T31" s="4"/>
      <c r="U31" s="4"/>
      <c r="V31" s="4"/>
      <c r="W31" s="4"/>
    </row>
    <row r="32" spans="2:23" ht="12.75">
      <c r="B32" s="52">
        <f t="shared" si="3"/>
        <v>42</v>
      </c>
      <c r="C32" s="32">
        <f t="shared" si="0"/>
        <v>-17.800000000000004</v>
      </c>
      <c r="D32" s="33">
        <f t="shared" si="5"/>
        <v>1.2928673086581977</v>
      </c>
      <c r="E32" s="32">
        <f t="shared" si="1"/>
        <v>-7.800000000000004</v>
      </c>
      <c r="F32" s="32">
        <f t="shared" si="4"/>
        <v>5.617635747282647</v>
      </c>
      <c r="G32" s="32">
        <f t="shared" si="2"/>
        <v>76.77506009808558</v>
      </c>
      <c r="H32" s="12"/>
      <c r="I32" s="12"/>
      <c r="J32" s="12"/>
      <c r="K32" s="12"/>
      <c r="L32" s="12"/>
      <c r="M32" s="12"/>
      <c r="N32" s="12"/>
      <c r="O32" s="12"/>
      <c r="P32" s="4"/>
      <c r="Q32" s="4"/>
      <c r="R32" s="4"/>
      <c r="S32" s="4"/>
      <c r="T32" s="4"/>
      <c r="U32" s="4"/>
      <c r="V32" s="4"/>
      <c r="W32" s="4"/>
    </row>
    <row r="33" spans="2:23" ht="12.75">
      <c r="B33" s="52">
        <f t="shared" si="3"/>
        <v>43.5</v>
      </c>
      <c r="C33" s="32">
        <f t="shared" si="0"/>
        <v>-19.15</v>
      </c>
      <c r="D33" s="33">
        <f t="shared" si="5"/>
        <v>1.1233596535793784</v>
      </c>
      <c r="E33" s="32">
        <f t="shared" si="1"/>
        <v>-9.149999999999999</v>
      </c>
      <c r="F33" s="32">
        <f t="shared" si="4"/>
        <v>5.259165540993717</v>
      </c>
      <c r="G33" s="32">
        <f t="shared" si="2"/>
        <v>79.51702653016007</v>
      </c>
      <c r="H33" s="12"/>
      <c r="I33" s="12"/>
      <c r="J33" s="12"/>
      <c r="K33" s="12"/>
      <c r="L33" s="12"/>
      <c r="M33" s="12"/>
      <c r="N33" s="12"/>
      <c r="O33" s="12"/>
      <c r="P33" s="4"/>
      <c r="Q33" s="4"/>
      <c r="R33" s="4"/>
      <c r="S33" s="4"/>
      <c r="T33" s="4"/>
      <c r="U33" s="4"/>
      <c r="V33" s="4"/>
      <c r="W33" s="4"/>
    </row>
    <row r="34" spans="2:23" ht="12.75">
      <c r="B34" s="52">
        <f t="shared" si="3"/>
        <v>45</v>
      </c>
      <c r="C34" s="32">
        <f t="shared" si="0"/>
        <v>-20.5</v>
      </c>
      <c r="D34" s="33">
        <f t="shared" si="5"/>
        <v>0.9682864224607524</v>
      </c>
      <c r="E34" s="32">
        <f t="shared" si="1"/>
        <v>-10.5</v>
      </c>
      <c r="F34" s="32">
        <f t="shared" si="4"/>
        <v>4.918256284428297</v>
      </c>
      <c r="G34" s="32">
        <f t="shared" si="2"/>
        <v>82.25899296223454</v>
      </c>
      <c r="H34" s="12"/>
      <c r="I34" s="12"/>
      <c r="J34" s="12"/>
      <c r="K34" s="12"/>
      <c r="L34" s="12"/>
      <c r="M34" s="12"/>
      <c r="N34" s="12"/>
      <c r="O34" s="12"/>
      <c r="P34" s="4"/>
      <c r="Q34" s="4"/>
      <c r="R34" s="4"/>
      <c r="S34" s="4"/>
      <c r="T34" s="4"/>
      <c r="U34" s="4"/>
      <c r="V34" s="4"/>
      <c r="W34" s="4"/>
    </row>
    <row r="35" spans="2:23" ht="12.75">
      <c r="B35" s="12"/>
      <c r="C35" s="12"/>
      <c r="D35" s="12"/>
      <c r="E35" s="12"/>
      <c r="F35" s="12"/>
      <c r="H35" s="12"/>
      <c r="I35" s="12"/>
      <c r="J35" s="12"/>
      <c r="K35" s="12"/>
      <c r="L35" s="12"/>
      <c r="M35" s="12"/>
      <c r="N35" s="12"/>
      <c r="O35" s="12"/>
      <c r="P35" s="4"/>
      <c r="Q35" s="4"/>
      <c r="R35" s="4"/>
      <c r="S35" s="4"/>
      <c r="T35" s="4"/>
      <c r="U35" s="4"/>
      <c r="V35" s="4"/>
      <c r="W35" s="4"/>
    </row>
    <row r="36" spans="2:23" ht="12.75">
      <c r="B36" s="4"/>
      <c r="C36" s="4"/>
      <c r="D36" s="4"/>
      <c r="E36" s="4"/>
      <c r="F36" s="4"/>
      <c r="G36" s="4"/>
      <c r="H36" s="4"/>
      <c r="I36" s="4"/>
      <c r="J36" s="4"/>
      <c r="K36" s="4"/>
      <c r="L36" s="4"/>
      <c r="M36" s="4"/>
      <c r="N36" s="12"/>
      <c r="O36" s="12"/>
      <c r="P36" s="4"/>
      <c r="Q36" s="4"/>
      <c r="R36" s="4"/>
      <c r="S36" s="4"/>
      <c r="T36" s="4"/>
      <c r="U36" s="4"/>
      <c r="V36" s="4"/>
      <c r="W36" s="4"/>
    </row>
    <row r="37" spans="2:23" ht="12.75">
      <c r="B37" s="4"/>
      <c r="C37" s="4"/>
      <c r="D37" s="4"/>
      <c r="E37" s="4"/>
      <c r="F37" s="4"/>
      <c r="G37" s="4"/>
      <c r="H37" s="4"/>
      <c r="I37" s="4"/>
      <c r="J37" s="4"/>
      <c r="K37" s="4"/>
      <c r="L37" s="4"/>
      <c r="M37" s="4"/>
      <c r="N37" s="4"/>
      <c r="O37" s="4"/>
      <c r="P37" s="4"/>
      <c r="Q37" s="4"/>
      <c r="R37" s="4"/>
      <c r="S37" s="4"/>
      <c r="T37" s="4"/>
      <c r="U37" s="4"/>
      <c r="V37" s="4"/>
      <c r="W37" s="4"/>
    </row>
    <row r="38" spans="2:23" ht="12.75">
      <c r="B38" s="4"/>
      <c r="C38" s="4"/>
      <c r="D38" s="4"/>
      <c r="E38" s="4"/>
      <c r="F38" s="4"/>
      <c r="G38" s="4"/>
      <c r="H38" s="4"/>
      <c r="I38" s="4"/>
      <c r="J38" s="4"/>
      <c r="K38" s="4"/>
      <c r="L38" s="4"/>
      <c r="M38" s="4"/>
      <c r="N38" s="4"/>
      <c r="O38" s="4"/>
      <c r="P38" s="4"/>
      <c r="Q38" s="4"/>
      <c r="R38" s="4"/>
      <c r="S38" s="4"/>
      <c r="T38" s="4"/>
      <c r="U38" s="4"/>
      <c r="V38" s="4"/>
      <c r="W38" s="4"/>
    </row>
    <row r="39" spans="2:23" ht="12.75">
      <c r="B39" s="4"/>
      <c r="C39" s="4"/>
      <c r="D39" s="4"/>
      <c r="E39" s="4"/>
      <c r="F39" s="4"/>
      <c r="G39" s="4"/>
      <c r="H39" s="4"/>
      <c r="I39" s="4"/>
      <c r="J39" s="4"/>
      <c r="K39" s="4"/>
      <c r="L39" s="4"/>
      <c r="M39" s="4"/>
      <c r="N39" s="4"/>
      <c r="O39" s="4"/>
      <c r="P39" s="4"/>
      <c r="Q39" s="4"/>
      <c r="R39" s="4"/>
      <c r="S39" s="4"/>
      <c r="T39" s="4"/>
      <c r="U39" s="4"/>
      <c r="V39" s="4"/>
      <c r="W39" s="4"/>
    </row>
    <row r="40" spans="2:23" ht="12.75">
      <c r="B40" s="4"/>
      <c r="C40" s="4"/>
      <c r="D40" s="4"/>
      <c r="E40" s="4"/>
      <c r="F40" s="4"/>
      <c r="G40" s="4"/>
      <c r="H40" s="4"/>
      <c r="I40" s="4"/>
      <c r="J40" s="4"/>
      <c r="K40" s="4"/>
      <c r="L40" s="4"/>
      <c r="M40" s="4"/>
      <c r="N40" s="4"/>
      <c r="O40" s="4"/>
      <c r="P40" s="4"/>
      <c r="Q40" s="4"/>
      <c r="R40" s="4"/>
      <c r="S40" s="4"/>
      <c r="T40" s="4"/>
      <c r="U40" s="4"/>
      <c r="V40" s="4"/>
      <c r="W40" s="4"/>
    </row>
    <row r="41" spans="2:23" ht="12.75">
      <c r="B41" s="4"/>
      <c r="C41" s="4"/>
      <c r="D41" s="4"/>
      <c r="E41" s="4"/>
      <c r="F41" s="4"/>
      <c r="G41" s="4"/>
      <c r="H41" s="4"/>
      <c r="I41" s="4"/>
      <c r="J41" s="4"/>
      <c r="K41" s="4"/>
      <c r="L41" s="4"/>
      <c r="M41" s="4"/>
      <c r="N41" s="4"/>
      <c r="O41" s="4"/>
      <c r="P41" s="4"/>
      <c r="Q41" s="4"/>
      <c r="R41" s="4"/>
      <c r="S41" s="4"/>
      <c r="T41" s="4"/>
      <c r="U41" s="4"/>
      <c r="V41" s="4"/>
      <c r="W41" s="4"/>
    </row>
    <row r="42" spans="2:23" ht="12.75">
      <c r="B42" s="4"/>
      <c r="C42" s="4"/>
      <c r="D42" s="4"/>
      <c r="E42" s="4"/>
      <c r="F42" s="4"/>
      <c r="G42" s="4"/>
      <c r="H42" s="4"/>
      <c r="I42" s="4"/>
      <c r="J42" s="4"/>
      <c r="K42" s="4"/>
      <c r="L42" s="4"/>
      <c r="M42" s="4"/>
      <c r="N42" s="4"/>
      <c r="O42" s="4"/>
      <c r="P42" s="4"/>
      <c r="Q42" s="4"/>
      <c r="R42" s="4"/>
      <c r="S42" s="4"/>
      <c r="T42" s="4"/>
      <c r="U42" s="4"/>
      <c r="V42" s="4"/>
      <c r="W42" s="4"/>
    </row>
    <row r="43" spans="2:23" ht="12.75">
      <c r="B43" s="4"/>
      <c r="C43" s="4"/>
      <c r="D43" s="4"/>
      <c r="E43" s="4"/>
      <c r="F43" s="4"/>
      <c r="G43" s="4"/>
      <c r="H43" s="4"/>
      <c r="I43" s="4"/>
      <c r="J43" s="4"/>
      <c r="K43" s="4"/>
      <c r="L43" s="4"/>
      <c r="M43" s="4"/>
      <c r="N43" s="4"/>
      <c r="O43" s="4"/>
      <c r="P43" s="4"/>
      <c r="Q43" s="4"/>
      <c r="R43" s="4"/>
      <c r="S43" s="4"/>
      <c r="T43" s="4"/>
      <c r="U43" s="4"/>
      <c r="V43" s="4"/>
      <c r="W43" s="4"/>
    </row>
    <row r="44" spans="2:23" ht="12.75">
      <c r="B44" s="4"/>
      <c r="C44" s="4"/>
      <c r="D44" s="4"/>
      <c r="E44" s="4"/>
      <c r="F44" s="4"/>
      <c r="G44" s="4"/>
      <c r="H44" s="4"/>
      <c r="I44" s="4"/>
      <c r="J44" s="4"/>
      <c r="K44" s="4"/>
      <c r="L44" s="4"/>
      <c r="M44" s="4"/>
      <c r="N44" s="4"/>
      <c r="O44" s="4"/>
      <c r="P44" s="4"/>
      <c r="Q44" s="4"/>
      <c r="R44" s="4"/>
      <c r="S44" s="4"/>
      <c r="T44" s="4"/>
      <c r="U44" s="4"/>
      <c r="V44" s="4"/>
      <c r="W44" s="4"/>
    </row>
    <row r="45" spans="2:23" ht="12.75">
      <c r="B45" s="4"/>
      <c r="C45" s="4"/>
      <c r="D45" s="4"/>
      <c r="E45" s="4"/>
      <c r="F45" s="4"/>
      <c r="G45" s="4"/>
      <c r="H45" s="4"/>
      <c r="I45" s="4"/>
      <c r="J45" s="4"/>
      <c r="K45" s="4"/>
      <c r="L45" s="4"/>
      <c r="M45" s="4"/>
      <c r="N45" s="4"/>
      <c r="O45" s="4"/>
      <c r="P45" s="4"/>
      <c r="Q45" s="4"/>
      <c r="R45" s="4"/>
      <c r="S45" s="4"/>
      <c r="T45" s="4"/>
      <c r="U45" s="4"/>
      <c r="V45" s="4"/>
      <c r="W45" s="4"/>
    </row>
    <row r="46" spans="2:23" ht="12.75">
      <c r="B46" s="4"/>
      <c r="C46" s="4"/>
      <c r="D46" s="4"/>
      <c r="E46" s="4"/>
      <c r="F46" s="4"/>
      <c r="G46" s="4"/>
      <c r="H46" s="4"/>
      <c r="I46" s="4"/>
      <c r="J46" s="4"/>
      <c r="K46" s="4"/>
      <c r="L46" s="4"/>
      <c r="M46" s="4"/>
      <c r="N46" s="4"/>
      <c r="O46" s="4"/>
      <c r="P46" s="4"/>
      <c r="Q46" s="4"/>
      <c r="R46" s="4"/>
      <c r="S46" s="4"/>
      <c r="T46" s="4"/>
      <c r="U46" s="4"/>
      <c r="V46" s="4"/>
      <c r="W46" s="4"/>
    </row>
    <row r="47" spans="2:23" ht="12.75">
      <c r="B47" s="4"/>
      <c r="C47" s="4"/>
      <c r="D47" s="4"/>
      <c r="E47" s="4"/>
      <c r="F47" s="4"/>
      <c r="G47" s="4"/>
      <c r="H47" s="4"/>
      <c r="I47" s="4"/>
      <c r="J47" s="4"/>
      <c r="K47" s="4"/>
      <c r="L47" s="4"/>
      <c r="M47" s="4"/>
      <c r="N47" s="4"/>
      <c r="O47" s="4"/>
      <c r="P47" s="4"/>
      <c r="Q47" s="4"/>
      <c r="R47" s="4"/>
      <c r="S47" s="4"/>
      <c r="T47" s="4"/>
      <c r="U47" s="4"/>
      <c r="V47" s="4"/>
      <c r="W47" s="4"/>
    </row>
    <row r="48" spans="2:23" ht="12.75">
      <c r="B48" s="4"/>
      <c r="C48" s="4"/>
      <c r="D48" s="4"/>
      <c r="E48" s="4"/>
      <c r="F48" s="4"/>
      <c r="G48" s="4"/>
      <c r="H48" s="4"/>
      <c r="I48" s="4"/>
      <c r="J48" s="4"/>
      <c r="K48" s="4"/>
      <c r="L48" s="4"/>
      <c r="M48" s="4"/>
      <c r="N48" s="4"/>
      <c r="O48" s="4"/>
      <c r="P48" s="4"/>
      <c r="Q48" s="4"/>
      <c r="R48" s="4"/>
      <c r="S48" s="4"/>
      <c r="T48" s="4"/>
      <c r="U48" s="4"/>
      <c r="V48" s="4"/>
      <c r="W48" s="4"/>
    </row>
    <row r="49" spans="2:23" ht="12.75">
      <c r="B49" s="4"/>
      <c r="C49" s="4"/>
      <c r="D49" s="4"/>
      <c r="E49" s="4"/>
      <c r="F49" s="4"/>
      <c r="G49" s="4"/>
      <c r="H49" s="4"/>
      <c r="I49" s="4"/>
      <c r="J49" s="4"/>
      <c r="K49" s="4"/>
      <c r="L49" s="4"/>
      <c r="M49" s="4"/>
      <c r="N49" s="4"/>
      <c r="O49" s="4"/>
      <c r="P49" s="4"/>
      <c r="Q49" s="4"/>
      <c r="R49" s="4"/>
      <c r="S49" s="4"/>
      <c r="T49" s="4"/>
      <c r="U49" s="4"/>
      <c r="V49" s="4"/>
      <c r="W49" s="4"/>
    </row>
    <row r="50" spans="2:23" ht="12.75">
      <c r="B50" s="4"/>
      <c r="C50" s="4"/>
      <c r="D50" s="4"/>
      <c r="E50" s="4"/>
      <c r="F50" s="4"/>
      <c r="G50" s="4"/>
      <c r="H50" s="4"/>
      <c r="I50" s="4"/>
      <c r="J50" s="4"/>
      <c r="K50" s="4"/>
      <c r="L50" s="4"/>
      <c r="M50" s="4"/>
      <c r="N50" s="4"/>
      <c r="O50" s="4"/>
      <c r="P50" s="4"/>
      <c r="Q50" s="4"/>
      <c r="R50" s="4"/>
      <c r="S50" s="4"/>
      <c r="T50" s="4"/>
      <c r="U50" s="4"/>
      <c r="V50" s="4"/>
      <c r="W50" s="4"/>
    </row>
    <row r="51" spans="2:23" ht="12.75">
      <c r="B51" s="4"/>
      <c r="C51" s="4"/>
      <c r="D51" s="4"/>
      <c r="E51" s="4"/>
      <c r="F51" s="4"/>
      <c r="G51" s="4"/>
      <c r="H51" s="4"/>
      <c r="I51" s="4"/>
      <c r="J51" s="4"/>
      <c r="K51" s="4"/>
      <c r="L51" s="4"/>
      <c r="M51" s="4"/>
      <c r="N51" s="4"/>
      <c r="O51" s="4"/>
      <c r="P51" s="4"/>
      <c r="Q51" s="4"/>
      <c r="R51" s="4"/>
      <c r="S51" s="4"/>
      <c r="T51" s="4"/>
      <c r="U51" s="4"/>
      <c r="V51" s="4"/>
      <c r="W51" s="4"/>
    </row>
    <row r="52" spans="2:23" ht="12.75">
      <c r="B52" s="4"/>
      <c r="C52" s="4"/>
      <c r="D52" s="4"/>
      <c r="E52" s="4"/>
      <c r="F52" s="4"/>
      <c r="G52" s="4"/>
      <c r="H52" s="4"/>
      <c r="I52" s="4"/>
      <c r="J52" s="4"/>
      <c r="K52" s="4"/>
      <c r="L52" s="4"/>
      <c r="M52" s="4"/>
      <c r="N52" s="4"/>
      <c r="O52" s="4"/>
      <c r="P52" s="4"/>
      <c r="Q52" s="4"/>
      <c r="R52" s="4"/>
      <c r="S52" s="4"/>
      <c r="T52" s="4"/>
      <c r="U52" s="4"/>
      <c r="V52" s="4"/>
      <c r="W52" s="4"/>
    </row>
    <row r="53" spans="2:23" ht="12.75">
      <c r="B53" s="4"/>
      <c r="C53" s="4"/>
      <c r="D53" s="4"/>
      <c r="E53" s="4"/>
      <c r="F53" s="4"/>
      <c r="G53" s="4"/>
      <c r="H53" s="4"/>
      <c r="I53" s="4"/>
      <c r="J53" s="4"/>
      <c r="K53" s="4"/>
      <c r="L53" s="4"/>
      <c r="M53" s="4"/>
      <c r="N53" s="4"/>
      <c r="O53" s="4"/>
      <c r="P53" s="4"/>
      <c r="Q53" s="4"/>
      <c r="R53" s="4"/>
      <c r="S53" s="4"/>
      <c r="T53" s="4"/>
      <c r="U53" s="4"/>
      <c r="V53" s="4"/>
      <c r="W53" s="4"/>
    </row>
    <row r="54" spans="2:23" ht="12.75">
      <c r="B54" s="4"/>
      <c r="C54" s="4"/>
      <c r="D54" s="4"/>
      <c r="E54" s="4"/>
      <c r="F54" s="4"/>
      <c r="G54" s="4"/>
      <c r="H54" s="4"/>
      <c r="I54" s="4"/>
      <c r="J54" s="4"/>
      <c r="K54" s="4"/>
      <c r="L54" s="4"/>
      <c r="M54" s="4"/>
      <c r="N54" s="4"/>
      <c r="O54" s="4"/>
      <c r="P54" s="4"/>
      <c r="Q54" s="4"/>
      <c r="R54" s="4"/>
      <c r="S54" s="4"/>
      <c r="T54" s="4"/>
      <c r="U54" s="4"/>
      <c r="V54" s="4"/>
      <c r="W54" s="4"/>
    </row>
    <row r="55" spans="2:23" ht="12.75">
      <c r="B55" s="4"/>
      <c r="C55" s="4"/>
      <c r="D55" s="4"/>
      <c r="E55" s="4"/>
      <c r="F55" s="4"/>
      <c r="G55" s="4"/>
      <c r="H55" s="4"/>
      <c r="I55" s="4"/>
      <c r="J55" s="4"/>
      <c r="K55" s="4"/>
      <c r="L55" s="4"/>
      <c r="M55" s="4"/>
      <c r="N55" s="4"/>
      <c r="O55" s="4"/>
      <c r="P55" s="4"/>
      <c r="Q55" s="4"/>
      <c r="R55" s="4"/>
      <c r="S55" s="4"/>
      <c r="T55" s="4"/>
      <c r="U55" s="4"/>
      <c r="V55" s="4"/>
      <c r="W55" s="4"/>
    </row>
    <row r="56" spans="2:23" ht="12.75">
      <c r="B56" s="4"/>
      <c r="C56" s="4"/>
      <c r="D56" s="4"/>
      <c r="E56" s="4"/>
      <c r="F56" s="4"/>
      <c r="G56" s="4"/>
      <c r="H56" s="4"/>
      <c r="I56" s="4"/>
      <c r="J56" s="4"/>
      <c r="K56" s="4"/>
      <c r="L56" s="4"/>
      <c r="M56" s="4"/>
      <c r="N56" s="4"/>
      <c r="O56" s="4"/>
      <c r="P56" s="4"/>
      <c r="Q56" s="4"/>
      <c r="R56" s="4"/>
      <c r="S56" s="4"/>
      <c r="T56" s="4"/>
      <c r="U56" s="4"/>
      <c r="V56" s="4"/>
      <c r="W56" s="4"/>
    </row>
    <row r="57" spans="2:23" ht="12.75">
      <c r="B57" s="4"/>
      <c r="C57" s="4"/>
      <c r="D57" s="4"/>
      <c r="E57" s="4"/>
      <c r="F57" s="4"/>
      <c r="G57" s="4"/>
      <c r="H57" s="4"/>
      <c r="I57" s="4"/>
      <c r="J57" s="4"/>
      <c r="K57" s="4"/>
      <c r="L57" s="4"/>
      <c r="M57" s="4"/>
      <c r="N57" s="4"/>
      <c r="O57" s="4"/>
      <c r="P57" s="4"/>
      <c r="Q57" s="4"/>
      <c r="R57" s="4"/>
      <c r="S57" s="4"/>
      <c r="T57" s="4"/>
      <c r="U57" s="4"/>
      <c r="V57" s="4"/>
      <c r="W57" s="4"/>
    </row>
    <row r="58" spans="2:23" ht="12.75">
      <c r="B58" s="4"/>
      <c r="C58" s="4"/>
      <c r="D58" s="4"/>
      <c r="E58" s="4"/>
      <c r="F58" s="4"/>
      <c r="G58" s="4"/>
      <c r="H58" s="4"/>
      <c r="I58" s="4"/>
      <c r="J58" s="4"/>
      <c r="K58" s="4"/>
      <c r="L58" s="4"/>
      <c r="M58" s="4"/>
      <c r="N58" s="4"/>
      <c r="O58" s="4"/>
      <c r="P58" s="4"/>
      <c r="Q58" s="4"/>
      <c r="R58" s="4"/>
      <c r="S58" s="4"/>
      <c r="T58" s="4"/>
      <c r="U58" s="4"/>
      <c r="V58" s="4"/>
      <c r="W58" s="4"/>
    </row>
    <row r="59" spans="2:23" ht="12.75">
      <c r="B59" s="4"/>
      <c r="C59" s="4"/>
      <c r="D59" s="4"/>
      <c r="E59" s="4"/>
      <c r="F59" s="4"/>
      <c r="G59" s="4"/>
      <c r="H59" s="4"/>
      <c r="I59" s="4"/>
      <c r="J59" s="4"/>
      <c r="K59" s="4"/>
      <c r="L59" s="4"/>
      <c r="M59" s="4"/>
      <c r="N59" s="4"/>
      <c r="O59" s="4"/>
      <c r="P59" s="4"/>
      <c r="Q59" s="4"/>
      <c r="R59" s="4"/>
      <c r="S59" s="4"/>
      <c r="T59" s="4"/>
      <c r="U59" s="4"/>
      <c r="V59" s="4"/>
      <c r="W59" s="4"/>
    </row>
    <row r="60" spans="2:23" ht="12.75">
      <c r="B60" s="4"/>
      <c r="C60" s="4"/>
      <c r="D60" s="4"/>
      <c r="E60" s="4"/>
      <c r="F60" s="4"/>
      <c r="G60" s="4"/>
      <c r="H60" s="4"/>
      <c r="I60" s="4"/>
      <c r="J60" s="4"/>
      <c r="K60" s="4"/>
      <c r="L60" s="4"/>
      <c r="M60" s="4"/>
      <c r="N60" s="4"/>
      <c r="O60" s="4"/>
      <c r="P60" s="4"/>
      <c r="Q60" s="4"/>
      <c r="R60" s="4"/>
      <c r="S60" s="4"/>
      <c r="T60" s="4"/>
      <c r="U60" s="4"/>
      <c r="V60" s="4"/>
      <c r="W60" s="4"/>
    </row>
    <row r="61" spans="2:23" ht="12.75">
      <c r="B61" s="4"/>
      <c r="C61" s="4"/>
      <c r="D61" s="4"/>
      <c r="E61" s="4"/>
      <c r="F61" s="4"/>
      <c r="G61" s="4"/>
      <c r="H61" s="4"/>
      <c r="I61" s="4"/>
      <c r="J61" s="4"/>
      <c r="K61" s="4"/>
      <c r="L61" s="4"/>
      <c r="M61" s="4"/>
      <c r="N61" s="4"/>
      <c r="O61" s="4"/>
      <c r="P61" s="4"/>
      <c r="Q61" s="4"/>
      <c r="R61" s="4"/>
      <c r="S61" s="4"/>
      <c r="T61" s="4"/>
      <c r="U61" s="4"/>
      <c r="V61" s="4"/>
      <c r="W61" s="4"/>
    </row>
    <row r="62" spans="2:23" ht="12.75">
      <c r="B62" s="4"/>
      <c r="C62" s="4"/>
      <c r="D62" s="4"/>
      <c r="E62" s="4"/>
      <c r="F62" s="4"/>
      <c r="G62" s="4"/>
      <c r="H62" s="4"/>
      <c r="I62" s="4"/>
      <c r="J62" s="4"/>
      <c r="K62" s="4"/>
      <c r="L62" s="4"/>
      <c r="M62" s="4"/>
      <c r="N62" s="4"/>
      <c r="O62" s="4"/>
      <c r="P62" s="4"/>
      <c r="Q62" s="4"/>
      <c r="R62" s="4"/>
      <c r="S62" s="4"/>
      <c r="T62" s="4"/>
      <c r="U62" s="4"/>
      <c r="V62" s="4"/>
      <c r="W62" s="4"/>
    </row>
    <row r="63" spans="2:23" ht="12.75">
      <c r="B63" s="4"/>
      <c r="C63" s="4"/>
      <c r="D63" s="4"/>
      <c r="E63" s="4"/>
      <c r="F63" s="4"/>
      <c r="G63" s="4"/>
      <c r="H63" s="4"/>
      <c r="I63" s="4"/>
      <c r="J63" s="4"/>
      <c r="K63" s="4"/>
      <c r="L63" s="4"/>
      <c r="M63" s="4"/>
      <c r="N63" s="4"/>
      <c r="O63" s="4"/>
      <c r="P63" s="4"/>
      <c r="Q63" s="4"/>
      <c r="R63" s="4"/>
      <c r="S63" s="4"/>
      <c r="T63" s="4"/>
      <c r="U63" s="4"/>
      <c r="V63" s="4"/>
      <c r="W63" s="4"/>
    </row>
    <row r="64" spans="2:23" ht="12.75">
      <c r="B64" s="4"/>
      <c r="C64" s="4"/>
      <c r="D64" s="4"/>
      <c r="E64" s="4"/>
      <c r="F64" s="4"/>
      <c r="G64" s="4"/>
      <c r="H64" s="4"/>
      <c r="I64" s="4"/>
      <c r="J64" s="4"/>
      <c r="K64" s="4"/>
      <c r="L64" s="4"/>
      <c r="M64" s="4"/>
      <c r="N64" s="4"/>
      <c r="O64" s="4"/>
      <c r="P64" s="4"/>
      <c r="Q64" s="4"/>
      <c r="R64" s="4"/>
      <c r="S64" s="4"/>
      <c r="T64" s="4"/>
      <c r="U64" s="4"/>
      <c r="V64" s="4"/>
      <c r="W64" s="4"/>
    </row>
    <row r="65" spans="2:23" ht="12.75">
      <c r="B65" s="4"/>
      <c r="C65" s="4"/>
      <c r="D65" s="4"/>
      <c r="E65" s="4"/>
      <c r="F65" s="4"/>
      <c r="G65" s="4"/>
      <c r="H65" s="4"/>
      <c r="I65" s="4"/>
      <c r="J65" s="4"/>
      <c r="K65" s="4"/>
      <c r="L65" s="4"/>
      <c r="M65" s="4"/>
      <c r="N65" s="4"/>
      <c r="O65" s="4"/>
      <c r="P65" s="4"/>
      <c r="Q65" s="4"/>
      <c r="R65" s="4"/>
      <c r="S65" s="4"/>
      <c r="T65" s="4"/>
      <c r="U65" s="4"/>
      <c r="V65" s="4"/>
      <c r="W65" s="4"/>
    </row>
    <row r="66" spans="2:23" ht="12.75">
      <c r="B66" s="4"/>
      <c r="C66" s="4"/>
      <c r="D66" s="4"/>
      <c r="E66" s="4"/>
      <c r="F66" s="4"/>
      <c r="G66" s="4"/>
      <c r="H66" s="4"/>
      <c r="I66" s="4"/>
      <c r="J66" s="4"/>
      <c r="K66" s="4"/>
      <c r="L66" s="4"/>
      <c r="M66" s="4"/>
      <c r="N66" s="4"/>
      <c r="O66" s="4"/>
      <c r="P66" s="4"/>
      <c r="Q66" s="4"/>
      <c r="R66" s="4"/>
      <c r="S66" s="4"/>
      <c r="T66" s="4"/>
      <c r="U66" s="4"/>
      <c r="V66" s="4"/>
      <c r="W66" s="4"/>
    </row>
    <row r="67" spans="2:23" ht="12.75">
      <c r="B67" s="4"/>
      <c r="C67" s="4"/>
      <c r="D67" s="4"/>
      <c r="E67" s="4"/>
      <c r="F67" s="4"/>
      <c r="G67" s="4"/>
      <c r="H67" s="4"/>
      <c r="I67" s="4"/>
      <c r="J67" s="4"/>
      <c r="K67" s="4"/>
      <c r="L67" s="4"/>
      <c r="M67" s="4"/>
      <c r="N67" s="4"/>
      <c r="O67" s="4"/>
      <c r="P67" s="4"/>
      <c r="Q67" s="4"/>
      <c r="R67" s="4"/>
      <c r="S67" s="4"/>
      <c r="T67" s="4"/>
      <c r="U67" s="4"/>
      <c r="V67" s="4"/>
      <c r="W67" s="4"/>
    </row>
    <row r="68" spans="2:23" ht="12.75">
      <c r="B68" s="4"/>
      <c r="C68" s="4"/>
      <c r="D68" s="4"/>
      <c r="E68" s="4"/>
      <c r="F68" s="4"/>
      <c r="G68" s="4"/>
      <c r="H68" s="4"/>
      <c r="I68" s="4"/>
      <c r="J68" s="4"/>
      <c r="K68" s="4"/>
      <c r="L68" s="4"/>
      <c r="M68" s="4"/>
      <c r="N68" s="4"/>
      <c r="O68" s="4"/>
      <c r="P68" s="4"/>
      <c r="Q68" s="4"/>
      <c r="R68" s="4"/>
      <c r="S68" s="4"/>
      <c r="T68" s="4"/>
      <c r="U68" s="4"/>
      <c r="V68" s="4"/>
      <c r="W68" s="4"/>
    </row>
  </sheetData>
  <mergeCells count="7">
    <mergeCell ref="B2:G2"/>
    <mergeCell ref="H26:I26"/>
    <mergeCell ref="H27:I27"/>
    <mergeCell ref="H22:J22"/>
    <mergeCell ref="H23:I23"/>
    <mergeCell ref="H24:I24"/>
    <mergeCell ref="H25:I25"/>
  </mergeCells>
  <printOptions/>
  <pageMargins left="0.75" right="0.75" top="1" bottom="1" header="0.5" footer="0.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Z66"/>
  <sheetViews>
    <sheetView workbookViewId="0" topLeftCell="A1">
      <selection activeCell="M5" sqref="M5"/>
    </sheetView>
  </sheetViews>
  <sheetFormatPr defaultColWidth="9.140625" defaultRowHeight="12.75"/>
  <cols>
    <col min="1" max="1" width="6.57421875" style="11" bestFit="1" customWidth="1"/>
    <col min="2" max="2" width="10.28125" style="11" bestFit="1" customWidth="1"/>
    <col min="3" max="3" width="7.8515625" style="11" customWidth="1"/>
    <col min="4" max="4" width="10.28125" style="11" bestFit="1" customWidth="1"/>
    <col min="5" max="5" width="8.00390625" style="11" customWidth="1"/>
    <col min="6" max="6" width="6.28125" style="0" customWidth="1"/>
    <col min="7" max="7" width="9.28125" style="0" customWidth="1"/>
    <col min="8" max="8" width="9.57421875" style="0" customWidth="1"/>
    <col min="9" max="9" width="5.7109375" style="0" customWidth="1"/>
    <col min="13" max="13" width="6.140625" style="0" bestFit="1" customWidth="1"/>
    <col min="14" max="14" width="4.8515625" style="0" customWidth="1"/>
    <col min="15" max="15" width="3.8515625" style="0" customWidth="1"/>
  </cols>
  <sheetData>
    <row r="1" spans="1:26" ht="15.75">
      <c r="A1" s="32" t="s">
        <v>0</v>
      </c>
      <c r="B1" s="32" t="s">
        <v>59</v>
      </c>
      <c r="C1" s="32" t="s">
        <v>60</v>
      </c>
      <c r="D1" s="32" t="s">
        <v>61</v>
      </c>
      <c r="E1" s="36" t="s">
        <v>62</v>
      </c>
      <c r="F1" s="43" t="s">
        <v>18</v>
      </c>
      <c r="G1" s="48">
        <f>UtilityMaximization!E2</f>
        <v>0.9</v>
      </c>
      <c r="H1" s="44">
        <f>W4/100</f>
        <v>0.5</v>
      </c>
      <c r="I1" s="4"/>
      <c r="J1" s="4"/>
      <c r="K1" s="77" t="s">
        <v>58</v>
      </c>
      <c r="L1" s="78"/>
      <c r="M1" s="79"/>
      <c r="N1" s="4"/>
      <c r="O1" s="4"/>
      <c r="P1" s="4"/>
      <c r="Q1" s="4"/>
      <c r="R1" s="4"/>
      <c r="S1" s="4"/>
      <c r="T1" s="4"/>
      <c r="U1" s="4"/>
      <c r="Z1" t="s">
        <v>68</v>
      </c>
    </row>
    <row r="2" spans="1:21" ht="12.75">
      <c r="A2" s="52">
        <v>0</v>
      </c>
      <c r="B2" s="32">
        <f>G$2-G$1*A2</f>
        <v>20</v>
      </c>
      <c r="C2" s="32"/>
      <c r="D2" s="32">
        <f aca="true" t="shared" si="0" ref="D2:D32">H$2-H$1*A2</f>
        <v>20</v>
      </c>
      <c r="E2" s="32"/>
      <c r="F2" s="16" t="s">
        <v>2</v>
      </c>
      <c r="G2" s="13">
        <f>UtilityMaximization!E3</f>
        <v>20</v>
      </c>
      <c r="H2" s="17">
        <v>20</v>
      </c>
      <c r="I2" s="4"/>
      <c r="J2" s="4"/>
      <c r="K2" s="83" t="s">
        <v>26</v>
      </c>
      <c r="L2" s="68"/>
      <c r="M2" s="18">
        <f>UtilityMaximization!K3</f>
        <v>10</v>
      </c>
      <c r="N2" s="4"/>
      <c r="O2" s="4"/>
      <c r="P2" s="4"/>
      <c r="Q2" s="4"/>
      <c r="R2" s="4"/>
      <c r="S2" s="4"/>
      <c r="T2" s="4"/>
      <c r="U2" s="4"/>
    </row>
    <row r="3" spans="1:23" ht="12.75">
      <c r="A3" s="52">
        <f>A2+1.5</f>
        <v>1.5</v>
      </c>
      <c r="B3" s="32">
        <f aca="true" t="shared" si="1" ref="B3:B32">G$2-G$1*A3</f>
        <v>18.65</v>
      </c>
      <c r="C3" s="32"/>
      <c r="D3" s="32">
        <f t="shared" si="0"/>
        <v>19.25</v>
      </c>
      <c r="E3" s="32"/>
      <c r="F3" s="16" t="s">
        <v>3</v>
      </c>
      <c r="G3" s="32">
        <f>UtilityMaximization!E4</f>
        <v>7.331438682985636</v>
      </c>
      <c r="H3" s="37">
        <v>18.852200558644054</v>
      </c>
      <c r="I3" s="4"/>
      <c r="J3" s="4"/>
      <c r="K3" s="83" t="s">
        <v>27</v>
      </c>
      <c r="L3" s="68"/>
      <c r="M3" s="18">
        <f>UtilityMaximization!K4</f>
        <v>0.4</v>
      </c>
      <c r="N3" s="4"/>
      <c r="O3" s="4"/>
      <c r="P3" s="4"/>
      <c r="Q3" s="4"/>
      <c r="R3" s="4"/>
      <c r="S3" s="4"/>
      <c r="T3" s="4"/>
      <c r="U3" s="4"/>
      <c r="W3" t="s">
        <v>65</v>
      </c>
    </row>
    <row r="4" spans="1:23" ht="12.75">
      <c r="A4" s="52">
        <f aca="true" t="shared" si="2" ref="A4:A32">A3+1.5</f>
        <v>3</v>
      </c>
      <c r="B4" s="32">
        <f t="shared" si="1"/>
        <v>17.3</v>
      </c>
      <c r="C4" s="32"/>
      <c r="D4" s="32">
        <f t="shared" si="0"/>
        <v>18.5</v>
      </c>
      <c r="E4" s="32">
        <f aca="true" t="shared" si="3" ref="E4:E32">(((H$5/M$2)^-M$5-M$3*A4^-M$5)/(1-M$3))^-(1/M$5)</f>
        <v>24.888186087538465</v>
      </c>
      <c r="F4" s="16" t="s">
        <v>4</v>
      </c>
      <c r="G4" s="32">
        <f>UtilityMaximization!E5</f>
        <v>13.401705131547963</v>
      </c>
      <c r="H4" s="37">
        <v>10.57389972067796</v>
      </c>
      <c r="I4" s="4"/>
      <c r="J4" s="4"/>
      <c r="K4" s="83" t="s">
        <v>23</v>
      </c>
      <c r="L4" s="68"/>
      <c r="M4" s="18">
        <v>2.01</v>
      </c>
      <c r="N4" s="4"/>
      <c r="O4" s="4"/>
      <c r="P4" s="4"/>
      <c r="Q4" s="4"/>
      <c r="R4" s="4"/>
      <c r="S4" s="4"/>
      <c r="T4" s="4"/>
      <c r="U4" s="4"/>
      <c r="W4">
        <v>50</v>
      </c>
    </row>
    <row r="5" spans="1:21" ht="13.5" thickBot="1">
      <c r="A5" s="52">
        <f t="shared" si="2"/>
        <v>4.5</v>
      </c>
      <c r="B5" s="32">
        <f t="shared" si="1"/>
        <v>15.95</v>
      </c>
      <c r="C5" s="32"/>
      <c r="D5" s="32">
        <f t="shared" si="0"/>
        <v>17.75</v>
      </c>
      <c r="E5" s="32">
        <f t="shared" si="3"/>
        <v>22.37750564325523</v>
      </c>
      <c r="F5" s="16" t="s">
        <v>5</v>
      </c>
      <c r="G5" s="32">
        <f>UtilityMaximization!E6</f>
        <v>107.56660500777483</v>
      </c>
      <c r="H5" s="37">
        <f>M2*($M$3*H3^-$M$5+(1-$M$3)*H4^-$M$5)^-(1/$M$5)</f>
        <v>136.0138966175017</v>
      </c>
      <c r="I5" s="4"/>
      <c r="J5" s="4"/>
      <c r="K5" s="81" t="s">
        <v>24</v>
      </c>
      <c r="L5" s="82"/>
      <c r="M5" s="40">
        <f>(1-M4)/M4</f>
        <v>-0.5024875621890547</v>
      </c>
      <c r="N5" s="4"/>
      <c r="O5" s="4"/>
      <c r="P5" s="4"/>
      <c r="Q5" s="4"/>
      <c r="R5" s="4"/>
      <c r="S5" s="4"/>
      <c r="T5" s="4"/>
      <c r="U5" s="4"/>
    </row>
    <row r="6" spans="1:21" ht="12.75">
      <c r="A6" s="52">
        <f t="shared" si="2"/>
        <v>6</v>
      </c>
      <c r="B6" s="32">
        <f t="shared" si="1"/>
        <v>14.6</v>
      </c>
      <c r="C6" s="32">
        <f aca="true" t="shared" si="4" ref="C6:C32">(((G$5/M$2)^-M$5-M$3*A6^-M$5)/(1-M$3))^-(1/M$5)</f>
        <v>14.68904872390701</v>
      </c>
      <c r="D6" s="32">
        <f t="shared" si="0"/>
        <v>17</v>
      </c>
      <c r="E6" s="32">
        <f t="shared" si="3"/>
        <v>20.362414175124204</v>
      </c>
      <c r="F6" s="4"/>
      <c r="G6" s="4"/>
      <c r="H6" s="4"/>
      <c r="I6" s="4"/>
      <c r="J6" s="4"/>
      <c r="K6" s="65" t="s">
        <v>52</v>
      </c>
      <c r="L6" s="75"/>
      <c r="M6" s="5"/>
      <c r="N6" s="4"/>
      <c r="O6" s="4"/>
      <c r="P6" s="4"/>
      <c r="Q6" s="4"/>
      <c r="R6" s="4"/>
      <c r="S6" s="4"/>
      <c r="T6" s="4"/>
      <c r="U6" s="4"/>
    </row>
    <row r="7" spans="1:21" ht="12.75">
      <c r="A7" s="52">
        <f t="shared" si="2"/>
        <v>7.5</v>
      </c>
      <c r="B7" s="32">
        <f t="shared" si="1"/>
        <v>13.25</v>
      </c>
      <c r="C7" s="32">
        <f t="shared" si="4"/>
        <v>13.25128015440037</v>
      </c>
      <c r="D7" s="32">
        <f t="shared" si="0"/>
        <v>16.25</v>
      </c>
      <c r="E7" s="32">
        <f t="shared" si="3"/>
        <v>18.664425912998755</v>
      </c>
      <c r="F7" s="4"/>
      <c r="G7" s="4"/>
      <c r="H7" s="4"/>
      <c r="I7" s="4"/>
      <c r="J7" s="4"/>
      <c r="K7" s="4"/>
      <c r="L7" s="4"/>
      <c r="M7" s="4"/>
      <c r="N7" s="4"/>
      <c r="O7" s="4"/>
      <c r="P7" s="4"/>
      <c r="Q7" s="4"/>
      <c r="R7" s="4"/>
      <c r="S7" s="4"/>
      <c r="T7" s="4"/>
      <c r="U7" s="4"/>
    </row>
    <row r="8" spans="1:21" ht="12.75">
      <c r="A8" s="52">
        <f t="shared" si="2"/>
        <v>9</v>
      </c>
      <c r="B8" s="32">
        <f t="shared" si="1"/>
        <v>11.9</v>
      </c>
      <c r="C8" s="32">
        <f t="shared" si="4"/>
        <v>12.014251904217273</v>
      </c>
      <c r="D8" s="32">
        <f t="shared" si="0"/>
        <v>15.5</v>
      </c>
      <c r="E8" s="32">
        <f t="shared" si="3"/>
        <v>17.19191487587698</v>
      </c>
      <c r="F8" s="4"/>
      <c r="G8" s="4"/>
      <c r="H8" s="4"/>
      <c r="I8" s="4"/>
      <c r="J8" s="4"/>
      <c r="K8" s="4"/>
      <c r="L8" s="4"/>
      <c r="M8" s="4"/>
      <c r="N8" s="4"/>
      <c r="O8" s="4"/>
      <c r="P8" s="4"/>
      <c r="Q8" s="4"/>
      <c r="R8" s="4"/>
      <c r="S8" s="4"/>
      <c r="T8" s="4"/>
      <c r="U8" s="4"/>
    </row>
    <row r="9" spans="1:21" ht="12.75">
      <c r="A9" s="52">
        <f t="shared" si="2"/>
        <v>10.5</v>
      </c>
      <c r="B9" s="32">
        <f t="shared" si="1"/>
        <v>10.549999999999999</v>
      </c>
      <c r="C9" s="32">
        <f t="shared" si="4"/>
        <v>10.929480590853096</v>
      </c>
      <c r="D9" s="32">
        <f t="shared" si="0"/>
        <v>14.75</v>
      </c>
      <c r="E9" s="32">
        <f t="shared" si="3"/>
        <v>15.890409562127049</v>
      </c>
      <c r="F9" s="4"/>
      <c r="G9" s="4"/>
      <c r="H9" s="4"/>
      <c r="I9" s="4"/>
      <c r="J9" s="4"/>
      <c r="K9" s="4"/>
      <c r="L9" s="4"/>
      <c r="M9" s="4"/>
      <c r="N9" s="4"/>
      <c r="O9" s="4"/>
      <c r="P9" s="4"/>
      <c r="Q9" s="4"/>
      <c r="R9" s="4"/>
      <c r="S9" s="4"/>
      <c r="T9" s="4"/>
      <c r="U9" s="4"/>
    </row>
    <row r="10" spans="1:21" ht="12.75">
      <c r="A10" s="52">
        <f t="shared" si="2"/>
        <v>12</v>
      </c>
      <c r="B10" s="32">
        <f t="shared" si="1"/>
        <v>9.2</v>
      </c>
      <c r="C10" s="32">
        <f t="shared" si="4"/>
        <v>9.96535556659819</v>
      </c>
      <c r="D10" s="32">
        <f t="shared" si="0"/>
        <v>14</v>
      </c>
      <c r="E10" s="32">
        <f t="shared" si="3"/>
        <v>14.724396024676556</v>
      </c>
      <c r="F10" s="4"/>
      <c r="G10" s="4"/>
      <c r="H10" s="4"/>
      <c r="I10" s="4"/>
      <c r="J10" s="4"/>
      <c r="K10" s="4"/>
      <c r="L10" s="4"/>
      <c r="M10" s="4"/>
      <c r="N10" s="4"/>
      <c r="O10" s="4"/>
      <c r="P10" s="4"/>
      <c r="Q10" s="4"/>
      <c r="R10" s="4"/>
      <c r="S10" s="4"/>
      <c r="T10" s="4"/>
      <c r="U10" s="4"/>
    </row>
    <row r="11" spans="1:21" ht="12.75">
      <c r="A11" s="52">
        <f t="shared" si="2"/>
        <v>13.5</v>
      </c>
      <c r="B11" s="32">
        <f t="shared" si="1"/>
        <v>7.85</v>
      </c>
      <c r="C11" s="32">
        <f t="shared" si="4"/>
        <v>9.09990729740041</v>
      </c>
      <c r="D11" s="32">
        <f t="shared" si="0"/>
        <v>13.25</v>
      </c>
      <c r="E11" s="32">
        <f t="shared" si="3"/>
        <v>13.66919244738748</v>
      </c>
      <c r="F11" s="4"/>
      <c r="G11" s="4"/>
      <c r="H11" s="4"/>
      <c r="I11" s="4"/>
      <c r="J11" s="4"/>
      <c r="K11" s="4"/>
      <c r="L11" s="4"/>
      <c r="M11" s="4"/>
      <c r="N11" s="4"/>
      <c r="O11" s="4"/>
      <c r="P11" s="4"/>
      <c r="Q11" s="4"/>
      <c r="R11" s="4"/>
      <c r="S11" s="4"/>
      <c r="T11" s="4"/>
      <c r="U11" s="4"/>
    </row>
    <row r="12" spans="1:21" ht="12.75">
      <c r="A12" s="52">
        <f t="shared" si="2"/>
        <v>15</v>
      </c>
      <c r="B12" s="32">
        <f t="shared" si="1"/>
        <v>6.5</v>
      </c>
      <c r="C12" s="32">
        <f t="shared" si="4"/>
        <v>8.317131701675905</v>
      </c>
      <c r="D12" s="32">
        <f t="shared" si="0"/>
        <v>12.5</v>
      </c>
      <c r="E12" s="32">
        <f t="shared" si="3"/>
        <v>12.706819260292269</v>
      </c>
      <c r="F12" s="5"/>
      <c r="G12" s="5"/>
      <c r="H12" s="5"/>
      <c r="I12" s="4"/>
      <c r="J12" s="4"/>
      <c r="K12" s="4"/>
      <c r="L12" s="4"/>
      <c r="M12" s="4"/>
      <c r="N12" s="4"/>
      <c r="O12" s="4"/>
      <c r="P12" s="4"/>
      <c r="Q12" s="4"/>
      <c r="R12" s="4"/>
      <c r="S12" s="4"/>
      <c r="T12" s="4"/>
      <c r="U12" s="4"/>
    </row>
    <row r="13" spans="1:21" ht="12.75">
      <c r="A13" s="52">
        <f t="shared" si="2"/>
        <v>16.5</v>
      </c>
      <c r="B13" s="32">
        <f t="shared" si="1"/>
        <v>5.15</v>
      </c>
      <c r="C13" s="32">
        <f t="shared" si="4"/>
        <v>7.604941434457545</v>
      </c>
      <c r="D13" s="32">
        <f t="shared" si="0"/>
        <v>11.75</v>
      </c>
      <c r="E13" s="32">
        <f t="shared" si="3"/>
        <v>11.82369729006747</v>
      </c>
      <c r="F13" s="4"/>
      <c r="G13" s="6"/>
      <c r="H13" s="4"/>
      <c r="I13" s="4"/>
      <c r="J13" s="4"/>
      <c r="K13" s="4"/>
      <c r="L13" s="4"/>
      <c r="M13" s="4"/>
      <c r="N13" s="4"/>
      <c r="O13" s="4"/>
      <c r="P13" s="4"/>
      <c r="Q13" s="4"/>
      <c r="R13" s="4"/>
      <c r="S13" s="4"/>
      <c r="T13" s="4"/>
      <c r="U13" s="4"/>
    </row>
    <row r="14" spans="1:21" ht="12.75">
      <c r="A14" s="52">
        <f t="shared" si="2"/>
        <v>18</v>
      </c>
      <c r="B14" s="32">
        <f t="shared" si="1"/>
        <v>3.8000000000000007</v>
      </c>
      <c r="C14" s="32">
        <f t="shared" si="4"/>
        <v>6.953941922821057</v>
      </c>
      <c r="D14" s="32">
        <f t="shared" si="0"/>
        <v>11</v>
      </c>
      <c r="E14" s="32">
        <f t="shared" si="3"/>
        <v>11.009272587017612</v>
      </c>
      <c r="F14" s="4"/>
      <c r="G14" s="4"/>
      <c r="H14" s="4"/>
      <c r="I14" s="4"/>
      <c r="J14" s="4"/>
      <c r="K14" s="4"/>
      <c r="L14" s="4"/>
      <c r="M14" s="4"/>
      <c r="N14" s="4"/>
      <c r="O14" s="4"/>
      <c r="P14" s="4"/>
      <c r="Q14" s="4"/>
      <c r="R14" s="4"/>
      <c r="S14" s="4"/>
      <c r="T14" s="4"/>
      <c r="U14" s="4"/>
    </row>
    <row r="15" spans="1:21" ht="12.75">
      <c r="A15" s="52">
        <f t="shared" si="2"/>
        <v>19.5</v>
      </c>
      <c r="B15" s="32">
        <f t="shared" si="1"/>
        <v>2.4499999999999993</v>
      </c>
      <c r="C15" s="32">
        <f t="shared" si="4"/>
        <v>6.356659327690893</v>
      </c>
      <c r="D15" s="32">
        <f t="shared" si="0"/>
        <v>10.25</v>
      </c>
      <c r="E15" s="32">
        <f t="shared" si="3"/>
        <v>10.255149021697001</v>
      </c>
      <c r="F15" s="4"/>
      <c r="G15" s="4"/>
      <c r="H15" s="4"/>
      <c r="I15" s="4"/>
      <c r="J15" s="4"/>
      <c r="K15" s="4"/>
      <c r="L15" s="4"/>
      <c r="M15" s="4"/>
      <c r="N15" s="4"/>
      <c r="O15" s="4"/>
      <c r="P15" s="4"/>
      <c r="Q15" s="4"/>
      <c r="R15" s="4"/>
      <c r="S15" s="4"/>
      <c r="T15" s="4"/>
      <c r="U15" s="4"/>
    </row>
    <row r="16" spans="1:21" ht="12.75">
      <c r="A16" s="52">
        <f t="shared" si="2"/>
        <v>21</v>
      </c>
      <c r="B16" s="32">
        <f t="shared" si="1"/>
        <v>1.0999999999999979</v>
      </c>
      <c r="C16" s="32">
        <f t="shared" si="4"/>
        <v>5.807031797310244</v>
      </c>
      <c r="D16" s="32">
        <f t="shared" si="0"/>
        <v>9.5</v>
      </c>
      <c r="E16" s="32">
        <f t="shared" si="3"/>
        <v>9.554516703374224</v>
      </c>
      <c r="F16" s="4"/>
      <c r="G16" s="4"/>
      <c r="H16" s="4"/>
      <c r="I16" s="4"/>
      <c r="J16" s="4"/>
      <c r="K16" s="4"/>
      <c r="L16" s="4"/>
      <c r="M16" s="4"/>
      <c r="N16" s="4"/>
      <c r="O16" s="4"/>
      <c r="P16" s="4"/>
      <c r="Q16" s="4"/>
      <c r="R16" s="4"/>
      <c r="S16" s="4"/>
      <c r="T16" s="4"/>
      <c r="U16" s="4"/>
    </row>
    <row r="17" spans="1:21" ht="12.75">
      <c r="A17" s="52">
        <f t="shared" si="2"/>
        <v>22.5</v>
      </c>
      <c r="B17" s="32">
        <f t="shared" si="1"/>
        <v>-0.25</v>
      </c>
      <c r="C17" s="32">
        <f t="shared" si="4"/>
        <v>5.300061924664658</v>
      </c>
      <c r="D17" s="32">
        <f t="shared" si="0"/>
        <v>8.75</v>
      </c>
      <c r="E17" s="32">
        <f t="shared" si="3"/>
        <v>8.901761517081125</v>
      </c>
      <c r="F17" s="4"/>
      <c r="G17" s="4"/>
      <c r="H17" s="4"/>
      <c r="I17" s="4"/>
      <c r="J17" s="4"/>
      <c r="K17" s="4"/>
      <c r="L17" s="4"/>
      <c r="M17" s="4"/>
      <c r="N17" s="4"/>
      <c r="O17" s="4"/>
      <c r="P17" s="4"/>
      <c r="Q17" s="4"/>
      <c r="R17" s="4"/>
      <c r="S17" s="4"/>
      <c r="T17" s="4"/>
      <c r="U17" s="4"/>
    </row>
    <row r="18" spans="1:21" ht="12.75">
      <c r="A18" s="52">
        <f t="shared" si="2"/>
        <v>24</v>
      </c>
      <c r="B18" s="32">
        <f t="shared" si="1"/>
        <v>-1.6000000000000014</v>
      </c>
      <c r="C18" s="32">
        <f t="shared" si="4"/>
        <v>4.83157204699823</v>
      </c>
      <c r="D18" s="32">
        <f t="shared" si="0"/>
        <v>8</v>
      </c>
      <c r="E18" s="32">
        <f t="shared" si="3"/>
        <v>8.292190205993595</v>
      </c>
      <c r="F18" s="4"/>
      <c r="G18" s="4"/>
      <c r="H18" s="4"/>
      <c r="I18" s="4"/>
      <c r="J18" s="4"/>
      <c r="K18" s="4"/>
      <c r="L18" s="4"/>
      <c r="M18" s="4"/>
      <c r="N18" s="4"/>
      <c r="O18" s="4"/>
      <c r="P18" s="4"/>
      <c r="Q18" s="4"/>
      <c r="R18" s="4"/>
      <c r="S18" s="4"/>
      <c r="T18" s="4"/>
      <c r="U18" s="4"/>
    </row>
    <row r="19" spans="1:21" ht="12.75">
      <c r="A19" s="52">
        <f t="shared" si="2"/>
        <v>25.5</v>
      </c>
      <c r="B19" s="32">
        <f t="shared" si="1"/>
        <v>-2.9499999999999993</v>
      </c>
      <c r="C19" s="32">
        <f t="shared" si="4"/>
        <v>4.398027467099359</v>
      </c>
      <c r="D19" s="32">
        <f t="shared" si="0"/>
        <v>7.25</v>
      </c>
      <c r="E19" s="32">
        <f t="shared" si="3"/>
        <v>7.721831764341161</v>
      </c>
      <c r="F19" s="4"/>
      <c r="G19" s="4"/>
      <c r="H19" s="4"/>
      <c r="I19" s="4"/>
      <c r="J19" s="4"/>
      <c r="K19" s="4"/>
      <c r="L19" s="4"/>
      <c r="M19" s="4"/>
      <c r="N19" s="4"/>
      <c r="O19" s="4"/>
      <c r="P19" s="4"/>
      <c r="Q19" s="4"/>
      <c r="R19" s="4"/>
      <c r="S19" s="4"/>
      <c r="T19" s="4"/>
      <c r="U19" s="4"/>
    </row>
    <row r="20" spans="1:21" ht="12.75">
      <c r="A20" s="52">
        <f t="shared" si="2"/>
        <v>27</v>
      </c>
      <c r="B20" s="32">
        <f t="shared" si="1"/>
        <v>-4.300000000000001</v>
      </c>
      <c r="C20" s="32">
        <f t="shared" si="4"/>
        <v>3.996405881037723</v>
      </c>
      <c r="D20" s="32">
        <f t="shared" si="0"/>
        <v>6.5</v>
      </c>
      <c r="E20" s="32">
        <f t="shared" si="3"/>
        <v>7.187290742775843</v>
      </c>
      <c r="F20" s="4"/>
      <c r="G20" s="4"/>
      <c r="H20" s="4"/>
      <c r="I20" s="4"/>
      <c r="J20" s="4"/>
      <c r="K20" s="4"/>
      <c r="L20" s="4"/>
      <c r="M20" s="4"/>
      <c r="N20" s="4"/>
      <c r="O20" s="4"/>
      <c r="P20" s="4"/>
      <c r="Q20" s="4"/>
      <c r="R20" s="4"/>
      <c r="S20" s="4"/>
      <c r="T20" s="4"/>
      <c r="U20" s="4"/>
    </row>
    <row r="21" spans="1:21" ht="12.75">
      <c r="A21" s="52">
        <f t="shared" si="2"/>
        <v>28.5</v>
      </c>
      <c r="B21" s="32">
        <f t="shared" si="1"/>
        <v>-5.650000000000002</v>
      </c>
      <c r="C21" s="32">
        <f t="shared" si="4"/>
        <v>3.624099054853913</v>
      </c>
      <c r="D21" s="32">
        <f t="shared" si="0"/>
        <v>5.75</v>
      </c>
      <c r="E21" s="32">
        <f t="shared" si="3"/>
        <v>6.685636784488459</v>
      </c>
      <c r="F21" s="4"/>
      <c r="G21" s="4"/>
      <c r="H21" s="4"/>
      <c r="I21" s="4"/>
      <c r="J21" s="4"/>
      <c r="K21" s="4"/>
      <c r="L21" s="4"/>
      <c r="M21" s="4"/>
      <c r="N21" s="4"/>
      <c r="O21" s="4"/>
      <c r="P21" s="4"/>
      <c r="Q21" s="4"/>
      <c r="R21" s="4"/>
      <c r="S21" s="4"/>
      <c r="T21" s="4"/>
      <c r="U21" s="4"/>
    </row>
    <row r="22" spans="1:21" ht="12.75">
      <c r="A22" s="52">
        <f t="shared" si="2"/>
        <v>30</v>
      </c>
      <c r="B22" s="32">
        <f t="shared" si="1"/>
        <v>-7</v>
      </c>
      <c r="C22" s="32">
        <f t="shared" si="4"/>
        <v>3.278837518089636</v>
      </c>
      <c r="D22" s="32">
        <f t="shared" si="0"/>
        <v>5</v>
      </c>
      <c r="E22" s="32">
        <f t="shared" si="3"/>
        <v>6.214320019548372</v>
      </c>
      <c r="F22" s="4"/>
      <c r="G22" s="4"/>
      <c r="H22" s="4"/>
      <c r="I22" s="4"/>
      <c r="J22" s="4"/>
      <c r="K22" s="4"/>
      <c r="L22" s="4"/>
      <c r="M22" s="4"/>
      <c r="N22" s="4"/>
      <c r="O22" s="4"/>
      <c r="P22" s="4"/>
      <c r="Q22" s="4"/>
      <c r="R22" s="4"/>
      <c r="S22" s="4"/>
      <c r="T22" s="4"/>
      <c r="U22" s="4"/>
    </row>
    <row r="23" spans="1:21" ht="12.75">
      <c r="A23" s="52">
        <f t="shared" si="2"/>
        <v>31.5</v>
      </c>
      <c r="B23" s="32">
        <f t="shared" si="1"/>
        <v>-8.350000000000001</v>
      </c>
      <c r="C23" s="32">
        <f t="shared" si="4"/>
        <v>2.9586320122794083</v>
      </c>
      <c r="D23" s="32">
        <f t="shared" si="0"/>
        <v>4.25</v>
      </c>
      <c r="E23" s="32">
        <f t="shared" si="3"/>
        <v>5.771105282096362</v>
      </c>
      <c r="F23" s="4"/>
      <c r="G23" s="4"/>
      <c r="H23" s="4"/>
      <c r="I23" s="4"/>
      <c r="J23" s="4"/>
      <c r="K23" s="4"/>
      <c r="L23" s="4"/>
      <c r="M23" s="4"/>
      <c r="N23" s="4"/>
      <c r="O23" s="4"/>
      <c r="P23" s="4"/>
      <c r="Q23" s="4"/>
      <c r="R23" s="4"/>
      <c r="S23" s="4"/>
      <c r="T23" s="4"/>
      <c r="U23" s="4"/>
    </row>
    <row r="24" spans="1:21" ht="12.75">
      <c r="A24" s="52">
        <f t="shared" si="2"/>
        <v>33</v>
      </c>
      <c r="B24" s="32">
        <f t="shared" si="1"/>
        <v>-9.7</v>
      </c>
      <c r="C24" s="32">
        <f t="shared" si="4"/>
        <v>2.661727351809815</v>
      </c>
      <c r="D24" s="32">
        <f t="shared" si="0"/>
        <v>3.5</v>
      </c>
      <c r="E24" s="32">
        <f t="shared" si="3"/>
        <v>5.354020271369001</v>
      </c>
      <c r="F24" s="4"/>
      <c r="G24" s="4"/>
      <c r="H24" s="4"/>
      <c r="I24" s="4"/>
      <c r="J24" s="4"/>
      <c r="K24" s="4"/>
      <c r="L24" s="4"/>
      <c r="M24" s="4"/>
      <c r="N24" s="4"/>
      <c r="O24" s="4"/>
      <c r="P24" s="4"/>
      <c r="Q24" s="4"/>
      <c r="R24" s="4"/>
      <c r="S24" s="4"/>
      <c r="T24" s="4"/>
      <c r="U24" s="4"/>
    </row>
    <row r="25" spans="1:21" ht="12.75">
      <c r="A25" s="52">
        <f t="shared" si="2"/>
        <v>34.5</v>
      </c>
      <c r="B25" s="32">
        <f t="shared" si="1"/>
        <v>-11.05</v>
      </c>
      <c r="C25" s="32">
        <f t="shared" si="4"/>
        <v>2.386565625462869</v>
      </c>
      <c r="D25" s="32">
        <f t="shared" si="0"/>
        <v>2.75</v>
      </c>
      <c r="E25" s="32">
        <f t="shared" si="3"/>
        <v>4.96131420539482</v>
      </c>
      <c r="F25" s="4"/>
      <c r="G25" s="4"/>
      <c r="H25" s="4"/>
      <c r="I25" s="4"/>
      <c r="J25" s="4"/>
      <c r="K25" s="4"/>
      <c r="L25" s="4"/>
      <c r="M25" s="4"/>
      <c r="N25" s="4"/>
      <c r="O25" s="4"/>
      <c r="P25" s="4"/>
      <c r="Q25" s="4"/>
      <c r="R25" s="4"/>
      <c r="S25" s="4"/>
      <c r="T25" s="4"/>
      <c r="U25" s="4"/>
    </row>
    <row r="26" spans="1:21" ht="12.75">
      <c r="A26" s="52">
        <f t="shared" si="2"/>
        <v>36</v>
      </c>
      <c r="B26" s="32">
        <f t="shared" si="1"/>
        <v>-12.399999999999999</v>
      </c>
      <c r="C26" s="32">
        <f t="shared" si="4"/>
        <v>2.13175652711069</v>
      </c>
      <c r="D26" s="32">
        <f t="shared" si="0"/>
        <v>2</v>
      </c>
      <c r="E26" s="32">
        <f t="shared" si="3"/>
        <v>4.59142448255029</v>
      </c>
      <c r="F26" s="84" t="s">
        <v>77</v>
      </c>
      <c r="G26" s="73"/>
      <c r="H26" s="73"/>
      <c r="I26" s="73"/>
      <c r="J26" s="73"/>
      <c r="K26" s="73"/>
      <c r="L26" s="73"/>
      <c r="M26" s="73"/>
      <c r="N26" s="73"/>
      <c r="O26" s="4"/>
      <c r="P26" s="4"/>
      <c r="Q26" s="4"/>
      <c r="R26" s="4"/>
      <c r="S26" s="4"/>
      <c r="T26" s="4"/>
      <c r="U26" s="4"/>
    </row>
    <row r="27" spans="1:21" ht="12.75">
      <c r="A27" s="52">
        <f t="shared" si="2"/>
        <v>37.5</v>
      </c>
      <c r="B27" s="32">
        <f t="shared" si="1"/>
        <v>-13.75</v>
      </c>
      <c r="C27" s="32">
        <f t="shared" si="4"/>
        <v>1.8960531977119044</v>
      </c>
      <c r="D27" s="32">
        <f t="shared" si="0"/>
        <v>1.25</v>
      </c>
      <c r="E27" s="32">
        <f t="shared" si="3"/>
        <v>4.242949533114688</v>
      </c>
      <c r="F27" s="4"/>
      <c r="G27" s="4"/>
      <c r="H27" s="4"/>
      <c r="I27" s="4"/>
      <c r="J27" s="4"/>
      <c r="K27" s="4"/>
      <c r="L27" s="4"/>
      <c r="M27" s="4"/>
      <c r="N27" s="4"/>
      <c r="O27" s="4"/>
      <c r="P27" s="4"/>
      <c r="Q27" s="4"/>
      <c r="R27" s="4"/>
      <c r="S27" s="4"/>
      <c r="T27" s="4"/>
      <c r="U27" s="4"/>
    </row>
    <row r="28" spans="1:21" ht="12.75">
      <c r="A28" s="52">
        <f t="shared" si="2"/>
        <v>39</v>
      </c>
      <c r="B28" s="32">
        <f t="shared" si="1"/>
        <v>-15.100000000000001</v>
      </c>
      <c r="C28" s="32">
        <f t="shared" si="4"/>
        <v>1.6783323778584718</v>
      </c>
      <c r="D28" s="32">
        <f t="shared" si="0"/>
        <v>0.5</v>
      </c>
      <c r="E28" s="32">
        <f t="shared" si="3"/>
        <v>3.914626511499722</v>
      </c>
      <c r="F28" s="4"/>
      <c r="G28" s="4"/>
      <c r="H28" s="4"/>
      <c r="I28" s="4"/>
      <c r="J28" s="4"/>
      <c r="K28" s="4"/>
      <c r="L28" s="4"/>
      <c r="M28" s="4"/>
      <c r="N28" s="4"/>
      <c r="O28" s="4"/>
      <c r="P28" s="4"/>
      <c r="Q28" s="4"/>
      <c r="R28" s="4"/>
      <c r="S28" s="4"/>
      <c r="T28" s="4"/>
      <c r="U28" s="4"/>
    </row>
    <row r="29" spans="1:21" ht="12.75">
      <c r="A29" s="52">
        <f t="shared" si="2"/>
        <v>40.5</v>
      </c>
      <c r="B29" s="32">
        <f t="shared" si="1"/>
        <v>-16.450000000000003</v>
      </c>
      <c r="C29" s="32">
        <f t="shared" si="4"/>
        <v>1.4775779679242034</v>
      </c>
      <c r="D29" s="32">
        <f t="shared" si="0"/>
        <v>-0.25</v>
      </c>
      <c r="E29" s="32">
        <f t="shared" si="3"/>
        <v>3.6053128143128066</v>
      </c>
      <c r="F29" s="4"/>
      <c r="G29" s="4"/>
      <c r="H29" s="4"/>
      <c r="I29" s="4"/>
      <c r="J29" s="4"/>
      <c r="K29" s="4"/>
      <c r="L29" s="4"/>
      <c r="M29" s="4"/>
      <c r="N29" s="4"/>
      <c r="O29" s="4"/>
      <c r="P29" s="4"/>
      <c r="Q29" s="4"/>
      <c r="R29" s="4"/>
      <c r="S29" s="4"/>
      <c r="T29" s="4"/>
      <c r="U29" s="4"/>
    </row>
    <row r="30" spans="1:21" ht="12.75">
      <c r="A30" s="52">
        <f t="shared" si="2"/>
        <v>42</v>
      </c>
      <c r="B30" s="32">
        <f t="shared" si="1"/>
        <v>-17.800000000000004</v>
      </c>
      <c r="C30" s="32">
        <f t="shared" si="4"/>
        <v>1.2928673086581977</v>
      </c>
      <c r="D30" s="32">
        <f t="shared" si="0"/>
        <v>-1</v>
      </c>
      <c r="E30" s="32">
        <f t="shared" si="3"/>
        <v>3.3139706517233787</v>
      </c>
      <c r="F30" s="4"/>
      <c r="G30" s="4"/>
      <c r="H30" s="4"/>
      <c r="I30" s="4"/>
      <c r="J30" s="4"/>
      <c r="K30" s="4"/>
      <c r="L30" s="4"/>
      <c r="M30" s="4"/>
      <c r="N30" s="4"/>
      <c r="O30" s="4"/>
      <c r="P30" s="4"/>
      <c r="Q30" s="4"/>
      <c r="R30" s="4"/>
      <c r="S30" s="4"/>
      <c r="T30" s="4"/>
      <c r="U30" s="4"/>
    </row>
    <row r="31" spans="1:21" ht="12.75">
      <c r="A31" s="52">
        <f t="shared" si="2"/>
        <v>43.5</v>
      </c>
      <c r="B31" s="32">
        <f t="shared" si="1"/>
        <v>-19.15</v>
      </c>
      <c r="C31" s="32">
        <f t="shared" si="4"/>
        <v>1.1233596535793784</v>
      </c>
      <c r="D31" s="32">
        <f t="shared" si="0"/>
        <v>-1.75</v>
      </c>
      <c r="E31" s="32">
        <f t="shared" si="3"/>
        <v>3.039654077512438</v>
      </c>
      <c r="F31" s="4"/>
      <c r="G31" s="4"/>
      <c r="H31" s="4"/>
      <c r="I31" s="4"/>
      <c r="J31" s="4"/>
      <c r="K31" s="4"/>
      <c r="L31" s="4"/>
      <c r="M31" s="4"/>
      <c r="N31" s="4"/>
      <c r="O31" s="4"/>
      <c r="P31" s="4"/>
      <c r="Q31" s="4"/>
      <c r="R31" s="4"/>
      <c r="S31" s="4"/>
      <c r="T31" s="4"/>
      <c r="U31" s="4"/>
    </row>
    <row r="32" spans="1:21" ht="12.75">
      <c r="A32" s="52">
        <f t="shared" si="2"/>
        <v>45</v>
      </c>
      <c r="B32" s="32">
        <f t="shared" si="1"/>
        <v>-20.5</v>
      </c>
      <c r="C32" s="32">
        <f t="shared" si="4"/>
        <v>0.9682864224607524</v>
      </c>
      <c r="D32" s="32">
        <f t="shared" si="0"/>
        <v>-2.5</v>
      </c>
      <c r="E32" s="32">
        <f t="shared" si="3"/>
        <v>2.7814980154359135</v>
      </c>
      <c r="F32" s="4"/>
      <c r="G32" s="4"/>
      <c r="H32" s="4"/>
      <c r="I32" s="4"/>
      <c r="J32" s="4"/>
      <c r="K32" s="4"/>
      <c r="L32" s="4"/>
      <c r="M32" s="4"/>
      <c r="N32" s="4"/>
      <c r="O32" s="4"/>
      <c r="P32" s="4"/>
      <c r="Q32" s="4"/>
      <c r="R32" s="4"/>
      <c r="S32" s="4"/>
      <c r="T32" s="4"/>
      <c r="U32" s="4"/>
    </row>
    <row r="33" spans="1:21" ht="12.75">
      <c r="A33" s="4"/>
      <c r="B33" s="4"/>
      <c r="C33" s="4"/>
      <c r="D33" s="4"/>
      <c r="E33" s="4"/>
      <c r="F33" s="4"/>
      <c r="G33" s="4"/>
      <c r="H33" s="4"/>
      <c r="I33" s="4"/>
      <c r="J33" s="4"/>
      <c r="K33" s="4"/>
      <c r="L33" s="4"/>
      <c r="M33" s="4"/>
      <c r="N33" s="4"/>
      <c r="O33" s="4"/>
      <c r="P33" s="4"/>
      <c r="Q33" s="4"/>
      <c r="R33" s="4"/>
      <c r="S33" s="4"/>
      <c r="T33" s="4"/>
      <c r="U33" s="4"/>
    </row>
    <row r="34" spans="1:21" ht="12.75">
      <c r="A34" s="4"/>
      <c r="B34" s="4"/>
      <c r="C34" s="4"/>
      <c r="D34" s="4"/>
      <c r="E34" s="4"/>
      <c r="F34" s="4"/>
      <c r="G34" s="4"/>
      <c r="H34" s="4"/>
      <c r="I34" s="4"/>
      <c r="J34" s="4"/>
      <c r="K34" s="4"/>
      <c r="L34" s="4"/>
      <c r="M34" s="4"/>
      <c r="N34" s="4"/>
      <c r="O34" s="4"/>
      <c r="P34" s="4"/>
      <c r="Q34" s="4"/>
      <c r="R34" s="4"/>
      <c r="S34" s="4"/>
      <c r="T34" s="4"/>
      <c r="U34" s="4"/>
    </row>
    <row r="35" spans="1:21" ht="12.75">
      <c r="A35" s="4"/>
      <c r="B35" s="4"/>
      <c r="C35" s="4"/>
      <c r="D35" s="4"/>
      <c r="E35" s="4"/>
      <c r="F35" s="4"/>
      <c r="G35" s="4"/>
      <c r="H35" s="4"/>
      <c r="I35" s="4"/>
      <c r="J35" s="4"/>
      <c r="K35" s="4"/>
      <c r="L35" s="4"/>
      <c r="M35" s="4"/>
      <c r="N35" s="4"/>
      <c r="O35" s="4"/>
      <c r="P35" s="4"/>
      <c r="Q35" s="4"/>
      <c r="R35" s="4"/>
      <c r="S35" s="4"/>
      <c r="T35" s="4"/>
      <c r="U35" s="4"/>
    </row>
    <row r="36" spans="1:21" ht="12.75">
      <c r="A36" s="4"/>
      <c r="B36" s="4"/>
      <c r="C36" s="4"/>
      <c r="D36" s="4"/>
      <c r="E36" s="4"/>
      <c r="F36" s="4"/>
      <c r="G36" s="4"/>
      <c r="H36" s="4"/>
      <c r="I36" s="4"/>
      <c r="J36" s="4"/>
      <c r="K36" s="4"/>
      <c r="L36" s="4"/>
      <c r="M36" s="4"/>
      <c r="N36" s="4"/>
      <c r="O36" s="4"/>
      <c r="P36" s="4"/>
      <c r="Q36" s="4"/>
      <c r="R36" s="4"/>
      <c r="S36" s="4"/>
      <c r="T36" s="4"/>
      <c r="U36" s="4"/>
    </row>
    <row r="37" spans="1:21" ht="12.75">
      <c r="A37" s="4"/>
      <c r="B37" s="4"/>
      <c r="C37" s="4"/>
      <c r="D37" s="4"/>
      <c r="E37" s="4"/>
      <c r="F37" s="4"/>
      <c r="G37" s="4"/>
      <c r="H37" s="4"/>
      <c r="I37" s="4"/>
      <c r="J37" s="4"/>
      <c r="K37" s="4"/>
      <c r="L37" s="4"/>
      <c r="M37" s="4"/>
      <c r="N37" s="4"/>
      <c r="O37" s="4"/>
      <c r="P37" s="4"/>
      <c r="Q37" s="4"/>
      <c r="R37" s="4"/>
      <c r="S37" s="4"/>
      <c r="T37" s="4"/>
      <c r="U37" s="4"/>
    </row>
    <row r="38" spans="1:21" ht="12.75">
      <c r="A38" s="4"/>
      <c r="B38" s="4"/>
      <c r="C38" s="4"/>
      <c r="D38" s="4"/>
      <c r="E38" s="4"/>
      <c r="F38" s="4"/>
      <c r="G38" s="4"/>
      <c r="H38" s="4"/>
      <c r="I38" s="4"/>
      <c r="J38" s="4"/>
      <c r="K38" s="4"/>
      <c r="L38" s="4"/>
      <c r="M38" s="4"/>
      <c r="N38" s="4"/>
      <c r="O38" s="4"/>
      <c r="P38" s="4"/>
      <c r="Q38" s="4"/>
      <c r="R38" s="4"/>
      <c r="S38" s="4"/>
      <c r="T38" s="4"/>
      <c r="U38" s="4"/>
    </row>
    <row r="39" spans="1:21" ht="12.75">
      <c r="A39" s="4"/>
      <c r="B39" s="4"/>
      <c r="C39" s="4"/>
      <c r="D39" s="4"/>
      <c r="E39" s="4"/>
      <c r="F39" s="4"/>
      <c r="G39" s="4"/>
      <c r="H39" s="4"/>
      <c r="I39" s="4"/>
      <c r="J39" s="4"/>
      <c r="K39" s="4"/>
      <c r="L39" s="4"/>
      <c r="M39" s="4"/>
      <c r="N39" s="4"/>
      <c r="O39" s="4"/>
      <c r="P39" s="4"/>
      <c r="Q39" s="4"/>
      <c r="R39" s="4"/>
      <c r="S39" s="4"/>
      <c r="T39" s="4"/>
      <c r="U39" s="4"/>
    </row>
    <row r="40" spans="1:21" ht="12.75">
      <c r="A40" s="4"/>
      <c r="B40" s="4"/>
      <c r="C40" s="4"/>
      <c r="D40" s="4"/>
      <c r="E40" s="4"/>
      <c r="F40" s="4"/>
      <c r="G40" s="4"/>
      <c r="H40" s="4"/>
      <c r="I40" s="4"/>
      <c r="J40" s="4"/>
      <c r="K40" s="4"/>
      <c r="L40" s="4"/>
      <c r="M40" s="4"/>
      <c r="N40" s="4"/>
      <c r="O40" s="4"/>
      <c r="P40" s="4"/>
      <c r="Q40" s="4"/>
      <c r="R40" s="4"/>
      <c r="S40" s="4"/>
      <c r="T40" s="4"/>
      <c r="U40" s="4"/>
    </row>
    <row r="41" spans="1:21" ht="12.75">
      <c r="A41" s="4"/>
      <c r="B41" s="4"/>
      <c r="C41" s="4"/>
      <c r="D41" s="4"/>
      <c r="E41" s="4"/>
      <c r="F41" s="4"/>
      <c r="G41" s="4"/>
      <c r="H41" s="4"/>
      <c r="I41" s="4"/>
      <c r="J41" s="4"/>
      <c r="K41" s="4"/>
      <c r="L41" s="4"/>
      <c r="M41" s="4"/>
      <c r="N41" s="4"/>
      <c r="O41" s="4"/>
      <c r="P41" s="4"/>
      <c r="Q41" s="4"/>
      <c r="R41" s="4"/>
      <c r="S41" s="4"/>
      <c r="T41" s="4"/>
      <c r="U41" s="4"/>
    </row>
    <row r="42" spans="1:21" ht="12.75">
      <c r="A42" s="4"/>
      <c r="B42" s="4"/>
      <c r="C42" s="4"/>
      <c r="D42" s="4"/>
      <c r="E42" s="4"/>
      <c r="F42" s="4"/>
      <c r="G42" s="4"/>
      <c r="H42" s="4"/>
      <c r="I42" s="4"/>
      <c r="J42" s="4"/>
      <c r="K42" s="4"/>
      <c r="L42" s="4"/>
      <c r="M42" s="4"/>
      <c r="N42" s="4"/>
      <c r="O42" s="4"/>
      <c r="P42" s="4"/>
      <c r="Q42" s="4"/>
      <c r="R42" s="4"/>
      <c r="S42" s="4"/>
      <c r="T42" s="4"/>
      <c r="U42" s="4"/>
    </row>
    <row r="43" spans="1:21" ht="12.75">
      <c r="A43" s="4"/>
      <c r="B43" s="4"/>
      <c r="C43" s="4"/>
      <c r="D43" s="4"/>
      <c r="E43" s="4"/>
      <c r="F43" s="4"/>
      <c r="G43" s="4"/>
      <c r="H43" s="4"/>
      <c r="I43" s="4"/>
      <c r="J43" s="4"/>
      <c r="K43" s="4"/>
      <c r="L43" s="4"/>
      <c r="M43" s="4"/>
      <c r="N43" s="4"/>
      <c r="O43" s="4"/>
      <c r="P43" s="4"/>
      <c r="Q43" s="4"/>
      <c r="R43" s="4"/>
      <c r="S43" s="4"/>
      <c r="T43" s="4"/>
      <c r="U43" s="4"/>
    </row>
    <row r="44" spans="1:21" ht="12.75">
      <c r="A44" s="4"/>
      <c r="B44" s="4"/>
      <c r="C44" s="4"/>
      <c r="D44" s="4"/>
      <c r="E44" s="4"/>
      <c r="F44" s="4"/>
      <c r="G44" s="4"/>
      <c r="H44" s="4"/>
      <c r="I44" s="4"/>
      <c r="J44" s="4"/>
      <c r="K44" s="4"/>
      <c r="L44" s="4"/>
      <c r="M44" s="4"/>
      <c r="N44" s="4"/>
      <c r="O44" s="4"/>
      <c r="P44" s="4"/>
      <c r="Q44" s="4"/>
      <c r="R44" s="4"/>
      <c r="S44" s="4"/>
      <c r="T44" s="4"/>
      <c r="U44" s="4"/>
    </row>
    <row r="45" spans="1:21" ht="12.75">
      <c r="A45" s="4"/>
      <c r="B45" s="4"/>
      <c r="C45" s="4"/>
      <c r="D45" s="4"/>
      <c r="E45" s="4"/>
      <c r="F45" s="4"/>
      <c r="G45" s="4"/>
      <c r="H45" s="4"/>
      <c r="I45" s="4"/>
      <c r="J45" s="4"/>
      <c r="K45" s="4"/>
      <c r="L45" s="4"/>
      <c r="M45" s="4"/>
      <c r="N45" s="4"/>
      <c r="O45" s="4"/>
      <c r="P45" s="4"/>
      <c r="Q45" s="4"/>
      <c r="R45" s="4"/>
      <c r="S45" s="4"/>
      <c r="T45" s="4"/>
      <c r="U45" s="4"/>
    </row>
    <row r="46" spans="1:21" ht="12.75">
      <c r="A46" s="4"/>
      <c r="B46" s="4"/>
      <c r="C46" s="4"/>
      <c r="D46" s="4"/>
      <c r="E46" s="4"/>
      <c r="F46" s="4"/>
      <c r="G46" s="4"/>
      <c r="H46" s="4"/>
      <c r="I46" s="4"/>
      <c r="J46" s="4"/>
      <c r="K46" s="4"/>
      <c r="L46" s="4"/>
      <c r="M46" s="4"/>
      <c r="N46" s="4"/>
      <c r="O46" s="4"/>
      <c r="P46" s="4"/>
      <c r="Q46" s="4"/>
      <c r="R46" s="4"/>
      <c r="S46" s="4"/>
      <c r="T46" s="4"/>
      <c r="U46" s="4"/>
    </row>
    <row r="47" spans="1:21" ht="12.75">
      <c r="A47" s="4"/>
      <c r="B47" s="4"/>
      <c r="C47" s="4"/>
      <c r="D47" s="4"/>
      <c r="E47" s="4"/>
      <c r="F47" s="4"/>
      <c r="G47" s="4"/>
      <c r="H47" s="4"/>
      <c r="I47" s="4"/>
      <c r="J47" s="4"/>
      <c r="K47" s="4"/>
      <c r="L47" s="4"/>
      <c r="M47" s="4"/>
      <c r="N47" s="4"/>
      <c r="O47" s="4"/>
      <c r="P47" s="4"/>
      <c r="Q47" s="4"/>
      <c r="R47" s="4"/>
      <c r="S47" s="4"/>
      <c r="T47" s="4"/>
      <c r="U47" s="4"/>
    </row>
    <row r="48" spans="1:21" ht="12.75">
      <c r="A48" s="4"/>
      <c r="B48" s="4"/>
      <c r="C48" s="4"/>
      <c r="D48" s="4"/>
      <c r="E48" s="4"/>
      <c r="F48" s="4"/>
      <c r="G48" s="4"/>
      <c r="H48" s="4"/>
      <c r="I48" s="4"/>
      <c r="J48" s="4"/>
      <c r="K48" s="4"/>
      <c r="L48" s="4"/>
      <c r="M48" s="4"/>
      <c r="N48" s="4"/>
      <c r="O48" s="4"/>
      <c r="P48" s="4"/>
      <c r="Q48" s="4"/>
      <c r="R48" s="4"/>
      <c r="S48" s="4"/>
      <c r="T48" s="4"/>
      <c r="U48" s="4"/>
    </row>
    <row r="49" spans="1:21" ht="12.75">
      <c r="A49" s="4"/>
      <c r="B49" s="4"/>
      <c r="C49" s="4"/>
      <c r="D49" s="4"/>
      <c r="E49" s="4"/>
      <c r="F49" s="4"/>
      <c r="G49" s="4"/>
      <c r="H49" s="4"/>
      <c r="I49" s="4"/>
      <c r="J49" s="4"/>
      <c r="K49" s="4"/>
      <c r="L49" s="4"/>
      <c r="M49" s="4"/>
      <c r="N49" s="4"/>
      <c r="O49" s="4"/>
      <c r="P49" s="4"/>
      <c r="Q49" s="4"/>
      <c r="R49" s="4"/>
      <c r="S49" s="4"/>
      <c r="T49" s="4"/>
      <c r="U49" s="4"/>
    </row>
    <row r="50" spans="1:21" ht="12.75">
      <c r="A50" s="4"/>
      <c r="B50" s="4"/>
      <c r="C50" s="4"/>
      <c r="D50" s="4"/>
      <c r="E50" s="4"/>
      <c r="F50" s="4"/>
      <c r="G50" s="4"/>
      <c r="H50" s="4"/>
      <c r="I50" s="4"/>
      <c r="J50" s="4"/>
      <c r="K50" s="4"/>
      <c r="L50" s="4"/>
      <c r="M50" s="4"/>
      <c r="N50" s="4"/>
      <c r="O50" s="4"/>
      <c r="P50" s="4"/>
      <c r="Q50" s="4"/>
      <c r="R50" s="4"/>
      <c r="S50" s="4"/>
      <c r="T50" s="4"/>
      <c r="U50" s="4"/>
    </row>
    <row r="51" spans="1:21" ht="12.75">
      <c r="A51" s="4"/>
      <c r="B51" s="4"/>
      <c r="C51" s="4"/>
      <c r="D51" s="4"/>
      <c r="E51" s="4"/>
      <c r="F51" s="4"/>
      <c r="G51" s="4"/>
      <c r="H51" s="4"/>
      <c r="I51" s="4"/>
      <c r="J51" s="4"/>
      <c r="K51" s="4"/>
      <c r="L51" s="4"/>
      <c r="M51" s="4"/>
      <c r="N51" s="4"/>
      <c r="O51" s="4"/>
      <c r="P51" s="4"/>
      <c r="Q51" s="4"/>
      <c r="R51" s="4"/>
      <c r="S51" s="4"/>
      <c r="T51" s="4"/>
      <c r="U51" s="4"/>
    </row>
    <row r="52" spans="1:21" ht="12.75">
      <c r="A52" s="4"/>
      <c r="B52" s="4"/>
      <c r="C52" s="4"/>
      <c r="D52" s="4"/>
      <c r="E52" s="4"/>
      <c r="F52" s="4"/>
      <c r="G52" s="4"/>
      <c r="H52" s="4"/>
      <c r="I52" s="4"/>
      <c r="J52" s="4"/>
      <c r="K52" s="4"/>
      <c r="L52" s="4"/>
      <c r="M52" s="4"/>
      <c r="N52" s="4"/>
      <c r="O52" s="4"/>
      <c r="P52" s="4"/>
      <c r="Q52" s="4"/>
      <c r="R52" s="4"/>
      <c r="S52" s="4"/>
      <c r="T52" s="4"/>
      <c r="U52" s="4"/>
    </row>
    <row r="53" spans="1:21" ht="12.75">
      <c r="A53" s="4"/>
      <c r="B53" s="4"/>
      <c r="C53" s="4"/>
      <c r="D53" s="4"/>
      <c r="E53" s="4"/>
      <c r="F53" s="4"/>
      <c r="G53" s="4"/>
      <c r="H53" s="4"/>
      <c r="I53" s="4"/>
      <c r="J53" s="4"/>
      <c r="K53" s="4"/>
      <c r="L53" s="4"/>
      <c r="M53" s="4"/>
      <c r="N53" s="4"/>
      <c r="O53" s="4"/>
      <c r="P53" s="4"/>
      <c r="Q53" s="4"/>
      <c r="R53" s="4"/>
      <c r="S53" s="4"/>
      <c r="T53" s="4"/>
      <c r="U53" s="4"/>
    </row>
    <row r="54" spans="1:21" ht="12.75">
      <c r="A54" s="4"/>
      <c r="B54" s="4"/>
      <c r="C54" s="4"/>
      <c r="D54" s="4"/>
      <c r="E54" s="4"/>
      <c r="F54" s="4"/>
      <c r="G54" s="4"/>
      <c r="H54" s="4"/>
      <c r="I54" s="4"/>
      <c r="J54" s="4"/>
      <c r="K54" s="4"/>
      <c r="L54" s="4"/>
      <c r="M54" s="4"/>
      <c r="N54" s="4"/>
      <c r="O54" s="4"/>
      <c r="P54" s="4"/>
      <c r="Q54" s="4"/>
      <c r="R54" s="4"/>
      <c r="S54" s="4"/>
      <c r="T54" s="4"/>
      <c r="U54" s="4"/>
    </row>
    <row r="55" spans="1:21" ht="12.75">
      <c r="A55" s="4"/>
      <c r="B55" s="4"/>
      <c r="C55" s="4"/>
      <c r="D55" s="4"/>
      <c r="E55" s="4"/>
      <c r="F55" s="4"/>
      <c r="G55" s="4"/>
      <c r="H55" s="4"/>
      <c r="I55" s="4"/>
      <c r="J55" s="4"/>
      <c r="K55" s="4"/>
      <c r="L55" s="4"/>
      <c r="M55" s="4"/>
      <c r="N55" s="4"/>
      <c r="O55" s="4"/>
      <c r="P55" s="4"/>
      <c r="Q55" s="4"/>
      <c r="R55" s="4"/>
      <c r="S55" s="4"/>
      <c r="T55" s="4"/>
      <c r="U55" s="4"/>
    </row>
    <row r="56" spans="1:21" ht="12.75">
      <c r="A56" s="4"/>
      <c r="B56" s="4"/>
      <c r="C56" s="4"/>
      <c r="D56" s="4"/>
      <c r="E56" s="4"/>
      <c r="F56" s="4"/>
      <c r="G56" s="4"/>
      <c r="H56" s="4"/>
      <c r="I56" s="4"/>
      <c r="J56" s="4"/>
      <c r="K56" s="4"/>
      <c r="L56" s="4"/>
      <c r="M56" s="4"/>
      <c r="N56" s="4"/>
      <c r="O56" s="4"/>
      <c r="P56" s="4"/>
      <c r="Q56" s="4"/>
      <c r="R56" s="4"/>
      <c r="S56" s="4"/>
      <c r="T56" s="4"/>
      <c r="U56" s="4"/>
    </row>
    <row r="57" spans="1:21" ht="12.75">
      <c r="A57" s="4"/>
      <c r="B57" s="4"/>
      <c r="C57" s="4"/>
      <c r="D57" s="4"/>
      <c r="E57" s="4"/>
      <c r="F57" s="4"/>
      <c r="G57" s="4"/>
      <c r="H57" s="4"/>
      <c r="I57" s="4"/>
      <c r="J57" s="4"/>
      <c r="K57" s="4"/>
      <c r="L57" s="4"/>
      <c r="M57" s="4"/>
      <c r="N57" s="4"/>
      <c r="O57" s="4"/>
      <c r="P57" s="4"/>
      <c r="Q57" s="4"/>
      <c r="R57" s="4"/>
      <c r="S57" s="4"/>
      <c r="T57" s="4"/>
      <c r="U57" s="4"/>
    </row>
    <row r="58" spans="1:21" ht="12.75">
      <c r="A58" s="4"/>
      <c r="B58" s="4"/>
      <c r="C58" s="4"/>
      <c r="D58" s="4"/>
      <c r="E58" s="4"/>
      <c r="F58" s="4"/>
      <c r="G58" s="4"/>
      <c r="H58" s="4"/>
      <c r="I58" s="4"/>
      <c r="J58" s="4"/>
      <c r="K58" s="4"/>
      <c r="L58" s="4"/>
      <c r="M58" s="4"/>
      <c r="N58" s="4"/>
      <c r="O58" s="4"/>
      <c r="P58" s="4"/>
      <c r="Q58" s="4"/>
      <c r="R58" s="4"/>
      <c r="S58" s="4"/>
      <c r="T58" s="4"/>
      <c r="U58" s="4"/>
    </row>
    <row r="59" spans="1:21" ht="12.75">
      <c r="A59" s="4"/>
      <c r="B59" s="4"/>
      <c r="C59" s="4"/>
      <c r="D59" s="4"/>
      <c r="E59" s="4"/>
      <c r="F59" s="4"/>
      <c r="G59" s="4"/>
      <c r="H59" s="4"/>
      <c r="I59" s="4"/>
      <c r="J59" s="4"/>
      <c r="K59" s="4"/>
      <c r="L59" s="4"/>
      <c r="M59" s="4"/>
      <c r="N59" s="4"/>
      <c r="O59" s="4"/>
      <c r="P59" s="4"/>
      <c r="Q59" s="4"/>
      <c r="R59" s="4"/>
      <c r="S59" s="4"/>
      <c r="T59" s="4"/>
      <c r="U59" s="4"/>
    </row>
    <row r="60" spans="1:21" ht="12.75">
      <c r="A60" s="4"/>
      <c r="B60" s="4"/>
      <c r="C60" s="4"/>
      <c r="D60" s="4"/>
      <c r="E60" s="4"/>
      <c r="F60" s="4"/>
      <c r="G60" s="4"/>
      <c r="H60" s="4"/>
      <c r="I60" s="4"/>
      <c r="J60" s="4"/>
      <c r="K60" s="4"/>
      <c r="L60" s="4"/>
      <c r="M60" s="4"/>
      <c r="N60" s="4"/>
      <c r="O60" s="4"/>
      <c r="P60" s="4"/>
      <c r="Q60" s="4"/>
      <c r="R60" s="4"/>
      <c r="S60" s="4"/>
      <c r="T60" s="4"/>
      <c r="U60" s="4"/>
    </row>
    <row r="61" spans="1:21" ht="12.75">
      <c r="A61" s="4"/>
      <c r="B61" s="4"/>
      <c r="C61" s="4"/>
      <c r="D61" s="4"/>
      <c r="E61" s="4"/>
      <c r="F61" s="4"/>
      <c r="G61" s="4"/>
      <c r="H61" s="4"/>
      <c r="I61" s="4"/>
      <c r="J61" s="4"/>
      <c r="K61" s="4"/>
      <c r="L61" s="4"/>
      <c r="M61" s="4"/>
      <c r="N61" s="4"/>
      <c r="O61" s="4"/>
      <c r="P61" s="4"/>
      <c r="Q61" s="4"/>
      <c r="R61" s="4"/>
      <c r="S61" s="4"/>
      <c r="T61" s="4"/>
      <c r="U61" s="4"/>
    </row>
    <row r="62" spans="6:21" ht="12.75">
      <c r="F62" s="4"/>
      <c r="G62" s="4"/>
      <c r="H62" s="4"/>
      <c r="I62" s="4"/>
      <c r="J62" s="4"/>
      <c r="K62" s="4"/>
      <c r="L62" s="4"/>
      <c r="M62" s="4"/>
      <c r="N62" s="4"/>
      <c r="O62" s="4"/>
      <c r="P62" s="4"/>
      <c r="Q62" s="4"/>
      <c r="R62" s="4"/>
      <c r="S62" s="4"/>
      <c r="T62" s="4"/>
      <c r="U62" s="4"/>
    </row>
    <row r="63" spans="6:21" ht="12.75">
      <c r="F63" s="4"/>
      <c r="G63" s="4"/>
      <c r="H63" s="4"/>
      <c r="I63" s="4"/>
      <c r="J63" s="4"/>
      <c r="K63" s="4"/>
      <c r="L63" s="4"/>
      <c r="M63" s="4"/>
      <c r="N63" s="4"/>
      <c r="O63" s="4"/>
      <c r="P63" s="4"/>
      <c r="Q63" s="4"/>
      <c r="R63" s="4"/>
      <c r="S63" s="4"/>
      <c r="T63" s="4"/>
      <c r="U63" s="4"/>
    </row>
    <row r="64" spans="6:21" ht="12.75">
      <c r="F64" s="4"/>
      <c r="G64" s="4"/>
      <c r="H64" s="4"/>
      <c r="I64" s="4"/>
      <c r="J64" s="4"/>
      <c r="K64" s="4"/>
      <c r="L64" s="4"/>
      <c r="M64" s="4"/>
      <c r="N64" s="4"/>
      <c r="O64" s="4"/>
      <c r="P64" s="4"/>
      <c r="Q64" s="4"/>
      <c r="R64" s="4"/>
      <c r="S64" s="4"/>
      <c r="T64" s="4"/>
      <c r="U64" s="4"/>
    </row>
    <row r="65" spans="6:21" ht="12.75">
      <c r="F65" s="4"/>
      <c r="G65" s="4"/>
      <c r="H65" s="4"/>
      <c r="I65" s="4"/>
      <c r="J65" s="4"/>
      <c r="K65" s="4"/>
      <c r="L65" s="4"/>
      <c r="M65" s="4"/>
      <c r="N65" s="4"/>
      <c r="O65" s="4"/>
      <c r="P65" s="4"/>
      <c r="Q65" s="4"/>
      <c r="R65" s="4"/>
      <c r="S65" s="4"/>
      <c r="T65" s="4"/>
      <c r="U65" s="4"/>
    </row>
    <row r="66" spans="6:21" ht="12.75">
      <c r="F66" s="4"/>
      <c r="G66" s="4"/>
      <c r="H66" s="4"/>
      <c r="I66" s="4"/>
      <c r="J66" s="4"/>
      <c r="K66" s="4"/>
      <c r="L66" s="4"/>
      <c r="M66" s="4"/>
      <c r="N66" s="4"/>
      <c r="O66" s="4"/>
      <c r="P66" s="4"/>
      <c r="Q66" s="4"/>
      <c r="R66" s="4"/>
      <c r="S66" s="4"/>
      <c r="T66" s="4"/>
      <c r="U66" s="4"/>
    </row>
  </sheetData>
  <mergeCells count="7">
    <mergeCell ref="F26:N26"/>
    <mergeCell ref="K5:L5"/>
    <mergeCell ref="K6:L6"/>
    <mergeCell ref="K1:M1"/>
    <mergeCell ref="K2:L2"/>
    <mergeCell ref="K3:L3"/>
    <mergeCell ref="K4:L4"/>
  </mergeCells>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65"/>
  <dimension ref="B2:AA68"/>
  <sheetViews>
    <sheetView workbookViewId="0" topLeftCell="A1">
      <selection activeCell="J26" sqref="J26"/>
    </sheetView>
  </sheetViews>
  <sheetFormatPr defaultColWidth="9.140625" defaultRowHeight="12.75"/>
  <cols>
    <col min="1" max="1" width="3.00390625" style="4" customWidth="1"/>
    <col min="2" max="2" width="6.57421875" style="11" bestFit="1" customWidth="1"/>
    <col min="3" max="3" width="10.28125" style="11" bestFit="1" customWidth="1"/>
    <col min="4" max="4" width="7.8515625" style="11" customWidth="1"/>
    <col min="5" max="5" width="10.140625" style="11" customWidth="1"/>
    <col min="6" max="6" width="8.00390625" style="11" customWidth="1"/>
    <col min="7" max="7" width="11.28125" style="12" customWidth="1"/>
    <col min="8" max="8" width="6.28125" style="0" customWidth="1"/>
    <col min="9" max="9" width="9.28125" style="0" customWidth="1"/>
    <col min="10" max="10" width="9.57421875" style="0" customWidth="1"/>
    <col min="11" max="11" width="5.7109375" style="0" customWidth="1"/>
  </cols>
  <sheetData>
    <row r="1" s="4" customFormat="1" ht="12.75"/>
    <row r="2" spans="2:7" s="4" customFormat="1" ht="12.75">
      <c r="B2" s="76" t="s">
        <v>79</v>
      </c>
      <c r="C2" s="76"/>
      <c r="D2" s="76"/>
      <c r="E2" s="76"/>
      <c r="F2" s="76"/>
      <c r="G2" s="76"/>
    </row>
    <row r="3" spans="2:23" ht="12.75">
      <c r="B3" s="32" t="s">
        <v>0</v>
      </c>
      <c r="C3" s="32" t="s">
        <v>59</v>
      </c>
      <c r="D3" s="32" t="s">
        <v>60</v>
      </c>
      <c r="E3" s="32" t="s">
        <v>61</v>
      </c>
      <c r="F3" s="36" t="s">
        <v>62</v>
      </c>
      <c r="G3" s="36" t="s">
        <v>66</v>
      </c>
      <c r="H3" s="4"/>
      <c r="M3" s="4"/>
      <c r="N3" s="4"/>
      <c r="O3" s="4"/>
      <c r="P3" s="4"/>
      <c r="Q3" s="4"/>
      <c r="R3" s="4"/>
      <c r="S3" s="4"/>
      <c r="T3" s="4"/>
      <c r="U3" s="4"/>
      <c r="V3" s="4"/>
      <c r="W3" s="4"/>
    </row>
    <row r="4" spans="2:23" ht="12.75">
      <c r="B4" s="52">
        <v>0</v>
      </c>
      <c r="C4" s="32">
        <f aca="true" t="shared" si="0" ref="C4:C34">L$23-L$22*B4</f>
        <v>20</v>
      </c>
      <c r="D4" s="33"/>
      <c r="E4" s="32">
        <f aca="true" t="shared" si="1" ref="E4:E34">M$23-M$22*B4</f>
        <v>20</v>
      </c>
      <c r="F4" s="36"/>
      <c r="G4" s="32">
        <f aca="true" t="shared" si="2" ref="G4:G34">(((1-J$24)/J$24)^J$25)*M$22^J$25*B4</f>
        <v>0</v>
      </c>
      <c r="H4" s="4"/>
      <c r="M4" s="4"/>
      <c r="N4" s="4"/>
      <c r="O4" s="4"/>
      <c r="P4" s="4"/>
      <c r="Q4" s="4"/>
      <c r="R4" s="4"/>
      <c r="S4" s="4"/>
      <c r="T4" s="4"/>
      <c r="U4" s="4"/>
      <c r="V4" s="4"/>
      <c r="W4" s="4"/>
    </row>
    <row r="5" spans="2:23" ht="12.75">
      <c r="B5" s="52">
        <f aca="true" t="shared" si="3" ref="B5:B34">B4+1.5</f>
        <v>1.5</v>
      </c>
      <c r="C5" s="32">
        <f t="shared" si="0"/>
        <v>18.65</v>
      </c>
      <c r="D5" s="33">
        <f aca="true" t="shared" si="4" ref="D5:D34">(((L$26/J$23)^-J$26-J$24*B5^-J$26)/(1-J$24))^-(1/J$26)</f>
        <v>21.582207959922968</v>
      </c>
      <c r="E5" s="32">
        <f t="shared" si="1"/>
        <v>19.25</v>
      </c>
      <c r="F5" s="36"/>
      <c r="G5" s="32">
        <f t="shared" si="2"/>
        <v>0.8413261706466001</v>
      </c>
      <c r="H5" s="4"/>
      <c r="M5" s="4"/>
      <c r="N5" s="4"/>
      <c r="O5" s="4"/>
      <c r="P5" s="4"/>
      <c r="Q5" s="4"/>
      <c r="R5" s="4"/>
      <c r="S5" s="4"/>
      <c r="T5" s="4"/>
      <c r="U5" s="4"/>
      <c r="V5" s="4"/>
      <c r="W5" s="4"/>
    </row>
    <row r="6" spans="2:23" ht="12.75">
      <c r="B6" s="52">
        <f t="shared" si="3"/>
        <v>3</v>
      </c>
      <c r="C6" s="32">
        <f t="shared" si="0"/>
        <v>17.3</v>
      </c>
      <c r="D6" s="33">
        <f t="shared" si="4"/>
        <v>18.570314452266416</v>
      </c>
      <c r="E6" s="32">
        <f t="shared" si="1"/>
        <v>18.5</v>
      </c>
      <c r="F6" s="36">
        <f aca="true" t="shared" si="5" ref="F6:F34">(((M$26/J$23)^-J$26-J$24*B6^-J$26)/(1-J$24))^-(1/J$26)</f>
        <v>24.88818608753848</v>
      </c>
      <c r="G6" s="32">
        <f t="shared" si="2"/>
        <v>1.6826523412932002</v>
      </c>
      <c r="H6" s="4"/>
      <c r="M6" s="4"/>
      <c r="N6" s="4"/>
      <c r="O6" s="4"/>
      <c r="P6" s="4"/>
      <c r="Q6" s="4"/>
      <c r="R6" s="4"/>
      <c r="S6" s="4"/>
      <c r="T6" s="4"/>
      <c r="U6" s="4"/>
      <c r="V6" s="4"/>
      <c r="W6" s="4"/>
    </row>
    <row r="7" spans="2:23" ht="12.75">
      <c r="B7" s="52">
        <f t="shared" si="3"/>
        <v>4.5</v>
      </c>
      <c r="C7" s="32">
        <f t="shared" si="0"/>
        <v>15.95</v>
      </c>
      <c r="D7" s="33">
        <f t="shared" si="4"/>
        <v>16.409108655895835</v>
      </c>
      <c r="E7" s="32">
        <f t="shared" si="1"/>
        <v>17.75</v>
      </c>
      <c r="F7" s="36">
        <f t="shared" si="5"/>
        <v>22.37750564325524</v>
      </c>
      <c r="G7" s="32">
        <f t="shared" si="2"/>
        <v>2.5239785119398004</v>
      </c>
      <c r="H7" s="4"/>
      <c r="M7" s="4"/>
      <c r="N7" s="4"/>
      <c r="O7" s="4"/>
      <c r="P7" s="4"/>
      <c r="Q7" s="4"/>
      <c r="R7" s="4"/>
      <c r="S7" s="4"/>
      <c r="T7" s="4"/>
      <c r="U7" s="4"/>
      <c r="V7" s="4"/>
      <c r="W7" s="4"/>
    </row>
    <row r="8" spans="2:23" ht="12.75">
      <c r="B8" s="52">
        <f t="shared" si="3"/>
        <v>6</v>
      </c>
      <c r="C8" s="32">
        <f t="shared" si="0"/>
        <v>14.6</v>
      </c>
      <c r="D8" s="33">
        <f t="shared" si="4"/>
        <v>14.68904872390701</v>
      </c>
      <c r="E8" s="32">
        <f t="shared" si="1"/>
        <v>17</v>
      </c>
      <c r="F8" s="36">
        <f t="shared" si="5"/>
        <v>20.36241417512421</v>
      </c>
      <c r="G8" s="32">
        <f t="shared" si="2"/>
        <v>3.3653046825864004</v>
      </c>
      <c r="H8" s="4"/>
      <c r="M8" s="4"/>
      <c r="N8" s="4"/>
      <c r="O8" s="4"/>
      <c r="P8" s="4"/>
      <c r="Q8" s="4"/>
      <c r="R8" s="4"/>
      <c r="S8" s="4"/>
      <c r="T8" s="4"/>
      <c r="U8" s="4"/>
      <c r="V8" s="4"/>
      <c r="W8" s="4"/>
    </row>
    <row r="9" spans="2:23" ht="12.75">
      <c r="B9" s="52">
        <f t="shared" si="3"/>
        <v>7.5</v>
      </c>
      <c r="C9" s="32">
        <f t="shared" si="0"/>
        <v>13.25</v>
      </c>
      <c r="D9" s="33">
        <f t="shared" si="4"/>
        <v>13.25128015440037</v>
      </c>
      <c r="E9" s="32">
        <f t="shared" si="1"/>
        <v>16.25</v>
      </c>
      <c r="F9" s="36">
        <f t="shared" si="5"/>
        <v>18.664425912998773</v>
      </c>
      <c r="G9" s="32">
        <f t="shared" si="2"/>
        <v>4.206630853233</v>
      </c>
      <c r="H9" s="4"/>
      <c r="M9" s="4"/>
      <c r="N9" s="4"/>
      <c r="O9" s="4"/>
      <c r="P9" s="4"/>
      <c r="Q9" s="4"/>
      <c r="R9" s="4"/>
      <c r="S9" s="4"/>
      <c r="T9" s="4"/>
      <c r="U9" s="4"/>
      <c r="V9" s="4"/>
      <c r="W9" s="4"/>
    </row>
    <row r="10" spans="2:23" ht="12.75">
      <c r="B10" s="52">
        <f t="shared" si="3"/>
        <v>9</v>
      </c>
      <c r="C10" s="32">
        <f t="shared" si="0"/>
        <v>11.9</v>
      </c>
      <c r="D10" s="33">
        <f t="shared" si="4"/>
        <v>12.014251904217273</v>
      </c>
      <c r="E10" s="32">
        <f t="shared" si="1"/>
        <v>15.5</v>
      </c>
      <c r="F10" s="36">
        <f t="shared" si="5"/>
        <v>17.191914875876996</v>
      </c>
      <c r="G10" s="32">
        <f t="shared" si="2"/>
        <v>5.047957023879601</v>
      </c>
      <c r="H10" s="4"/>
      <c r="M10" s="4"/>
      <c r="N10" s="4"/>
      <c r="O10" s="4"/>
      <c r="P10" s="4"/>
      <c r="Q10" s="4"/>
      <c r="R10" s="4"/>
      <c r="S10" s="4"/>
      <c r="T10" s="4"/>
      <c r="U10" s="4"/>
      <c r="V10" s="4"/>
      <c r="W10" s="4"/>
    </row>
    <row r="11" spans="2:23" ht="12.75">
      <c r="B11" s="52">
        <f t="shared" si="3"/>
        <v>10.5</v>
      </c>
      <c r="C11" s="32">
        <f t="shared" si="0"/>
        <v>10.549999999999999</v>
      </c>
      <c r="D11" s="33">
        <f t="shared" si="4"/>
        <v>10.929480590853096</v>
      </c>
      <c r="E11" s="32">
        <f t="shared" si="1"/>
        <v>14.75</v>
      </c>
      <c r="F11" s="36">
        <f t="shared" si="5"/>
        <v>15.890409562127056</v>
      </c>
      <c r="G11" s="32">
        <f t="shared" si="2"/>
        <v>5.8892831945262</v>
      </c>
      <c r="H11" s="4"/>
      <c r="M11" s="4"/>
      <c r="N11" s="4"/>
      <c r="O11" s="4"/>
      <c r="P11" s="4"/>
      <c r="Q11" s="4"/>
      <c r="R11" s="4"/>
      <c r="S11" s="4"/>
      <c r="T11" s="4"/>
      <c r="U11" s="4"/>
      <c r="V11" s="4"/>
      <c r="W11" s="4"/>
    </row>
    <row r="12" spans="2:23" ht="12.75">
      <c r="B12" s="52">
        <f t="shared" si="3"/>
        <v>12</v>
      </c>
      <c r="C12" s="32">
        <f t="shared" si="0"/>
        <v>9.2</v>
      </c>
      <c r="D12" s="33">
        <f t="shared" si="4"/>
        <v>9.96535556659819</v>
      </c>
      <c r="E12" s="32">
        <f t="shared" si="1"/>
        <v>14</v>
      </c>
      <c r="F12" s="36">
        <f t="shared" si="5"/>
        <v>14.724396024676569</v>
      </c>
      <c r="G12" s="32">
        <f t="shared" si="2"/>
        <v>6.730609365172801</v>
      </c>
      <c r="H12" s="4"/>
      <c r="M12" s="4"/>
      <c r="N12" s="4"/>
      <c r="O12" s="4"/>
      <c r="P12" s="4"/>
      <c r="Q12" s="4"/>
      <c r="R12" s="4"/>
      <c r="S12" s="4"/>
      <c r="T12" s="4"/>
      <c r="U12" s="4"/>
      <c r="V12" s="4"/>
      <c r="W12" s="4"/>
    </row>
    <row r="13" spans="2:23" ht="12.75">
      <c r="B13" s="52">
        <f t="shared" si="3"/>
        <v>13.5</v>
      </c>
      <c r="C13" s="32">
        <f t="shared" si="0"/>
        <v>7.85</v>
      </c>
      <c r="D13" s="33">
        <f t="shared" si="4"/>
        <v>9.09990729740041</v>
      </c>
      <c r="E13" s="32">
        <f t="shared" si="1"/>
        <v>13.25</v>
      </c>
      <c r="F13" s="32">
        <f t="shared" si="5"/>
        <v>13.669192447387493</v>
      </c>
      <c r="G13" s="32">
        <f t="shared" si="2"/>
        <v>7.571935535819401</v>
      </c>
      <c r="H13" s="4"/>
      <c r="M13" s="4"/>
      <c r="N13" s="4"/>
      <c r="O13" s="4"/>
      <c r="P13" s="4"/>
      <c r="Q13" s="4"/>
      <c r="R13" s="4"/>
      <c r="S13" s="4"/>
      <c r="T13" s="4"/>
      <c r="U13" s="4"/>
      <c r="V13" s="4"/>
      <c r="W13" s="4"/>
    </row>
    <row r="14" spans="2:23" ht="12.75">
      <c r="B14" s="52">
        <f t="shared" si="3"/>
        <v>15</v>
      </c>
      <c r="C14" s="32">
        <f t="shared" si="0"/>
        <v>6.5</v>
      </c>
      <c r="D14" s="33">
        <f t="shared" si="4"/>
        <v>8.317131701675905</v>
      </c>
      <c r="E14" s="32">
        <f t="shared" si="1"/>
        <v>12.5</v>
      </c>
      <c r="F14" s="32">
        <f t="shared" si="5"/>
        <v>12.70681926029228</v>
      </c>
      <c r="G14" s="32">
        <f t="shared" si="2"/>
        <v>8.413261706466</v>
      </c>
      <c r="H14" s="4"/>
      <c r="I14" s="4"/>
      <c r="J14" s="4"/>
      <c r="K14" s="4"/>
      <c r="L14" s="4"/>
      <c r="M14" s="4"/>
      <c r="N14" s="4"/>
      <c r="O14" s="4"/>
      <c r="P14" s="4"/>
      <c r="Q14" s="4"/>
      <c r="R14" s="4"/>
      <c r="S14" s="4"/>
      <c r="T14" s="4"/>
      <c r="U14" s="4"/>
      <c r="V14" s="4"/>
      <c r="W14" s="4"/>
    </row>
    <row r="15" spans="2:23" ht="12.75">
      <c r="B15" s="52">
        <f t="shared" si="3"/>
        <v>16.5</v>
      </c>
      <c r="C15" s="32">
        <f t="shared" si="0"/>
        <v>5.15</v>
      </c>
      <c r="D15" s="33">
        <f t="shared" si="4"/>
        <v>7.604941434457545</v>
      </c>
      <c r="E15" s="32">
        <f t="shared" si="1"/>
        <v>11.75</v>
      </c>
      <c r="F15" s="32">
        <f t="shared" si="5"/>
        <v>11.82369729006748</v>
      </c>
      <c r="G15" s="32">
        <f t="shared" si="2"/>
        <v>9.2545878771126</v>
      </c>
      <c r="H15" s="4"/>
      <c r="I15" s="6"/>
      <c r="J15" s="4"/>
      <c r="K15" s="4"/>
      <c r="L15" s="4"/>
      <c r="M15" s="4"/>
      <c r="N15" s="4"/>
      <c r="O15" s="4"/>
      <c r="P15" s="4"/>
      <c r="Q15" s="4"/>
      <c r="R15" s="4"/>
      <c r="S15" s="4"/>
      <c r="T15" s="4"/>
      <c r="U15" s="4"/>
      <c r="V15" s="4"/>
      <c r="W15" s="4"/>
    </row>
    <row r="16" spans="2:23" ht="12.75">
      <c r="B16" s="52">
        <f t="shared" si="3"/>
        <v>18</v>
      </c>
      <c r="C16" s="32">
        <f t="shared" si="0"/>
        <v>3.8000000000000007</v>
      </c>
      <c r="D16" s="33">
        <f t="shared" si="4"/>
        <v>6.953941922821057</v>
      </c>
      <c r="E16" s="32">
        <f t="shared" si="1"/>
        <v>11</v>
      </c>
      <c r="F16" s="32">
        <f t="shared" si="5"/>
        <v>11.009272587017621</v>
      </c>
      <c r="G16" s="32">
        <f t="shared" si="2"/>
        <v>10.095914047759202</v>
      </c>
      <c r="H16" s="4"/>
      <c r="I16" s="4"/>
      <c r="J16" s="4"/>
      <c r="K16" s="4"/>
      <c r="L16" s="4"/>
      <c r="M16" s="4"/>
      <c r="N16" s="4"/>
      <c r="O16" s="4"/>
      <c r="P16" s="4"/>
      <c r="Q16" s="4"/>
      <c r="R16" s="4"/>
      <c r="S16" s="4"/>
      <c r="T16" s="4"/>
      <c r="U16" s="4"/>
      <c r="V16" s="4"/>
      <c r="W16" s="4"/>
    </row>
    <row r="17" spans="2:23" ht="12.75">
      <c r="B17" s="52">
        <f t="shared" si="3"/>
        <v>19.5</v>
      </c>
      <c r="C17" s="32">
        <f t="shared" si="0"/>
        <v>2.4499999999999993</v>
      </c>
      <c r="D17" s="33">
        <f t="shared" si="4"/>
        <v>6.356659327690893</v>
      </c>
      <c r="E17" s="32">
        <f t="shared" si="1"/>
        <v>10.25</v>
      </c>
      <c r="F17" s="32">
        <f t="shared" si="5"/>
        <v>10.255149021697015</v>
      </c>
      <c r="G17" s="32">
        <f t="shared" si="2"/>
        <v>10.937240218405801</v>
      </c>
      <c r="H17" s="4"/>
      <c r="I17" s="4"/>
      <c r="J17" s="4"/>
      <c r="K17" s="4"/>
      <c r="L17" s="4"/>
      <c r="M17" s="4"/>
      <c r="N17" s="4"/>
      <c r="O17" s="4"/>
      <c r="P17" s="4"/>
      <c r="Q17" s="4"/>
      <c r="R17" s="4"/>
      <c r="S17" s="4"/>
      <c r="T17" s="4"/>
      <c r="U17" s="4"/>
      <c r="V17" s="4"/>
      <c r="W17" s="4"/>
    </row>
    <row r="18" spans="2:23" ht="12.75">
      <c r="B18" s="52">
        <f t="shared" si="3"/>
        <v>21</v>
      </c>
      <c r="C18" s="32">
        <f t="shared" si="0"/>
        <v>1.0999999999999979</v>
      </c>
      <c r="D18" s="33">
        <f t="shared" si="4"/>
        <v>5.807031797310244</v>
      </c>
      <c r="E18" s="32">
        <f t="shared" si="1"/>
        <v>9.5</v>
      </c>
      <c r="F18" s="32">
        <f t="shared" si="5"/>
        <v>9.554516703374231</v>
      </c>
      <c r="G18" s="32">
        <f t="shared" si="2"/>
        <v>11.7785663890524</v>
      </c>
      <c r="H18" s="4"/>
      <c r="I18" s="4"/>
      <c r="J18" s="4"/>
      <c r="K18" s="4"/>
      <c r="L18" s="4"/>
      <c r="M18" s="4"/>
      <c r="N18" s="4"/>
      <c r="O18" s="4"/>
      <c r="P18" s="4"/>
      <c r="Q18" s="4"/>
      <c r="R18" s="4"/>
      <c r="S18" s="4"/>
      <c r="T18" s="4"/>
      <c r="U18" s="4"/>
      <c r="V18" s="4"/>
      <c r="W18" s="4"/>
    </row>
    <row r="19" spans="2:23" ht="12.75">
      <c r="B19" s="52">
        <f t="shared" si="3"/>
        <v>22.5</v>
      </c>
      <c r="C19" s="32">
        <f t="shared" si="0"/>
        <v>-0.25</v>
      </c>
      <c r="D19" s="33">
        <f t="shared" si="4"/>
        <v>5.300061924664658</v>
      </c>
      <c r="E19" s="32">
        <f t="shared" si="1"/>
        <v>8.75</v>
      </c>
      <c r="F19" s="32">
        <f t="shared" si="5"/>
        <v>8.901761517081132</v>
      </c>
      <c r="G19" s="32">
        <f t="shared" si="2"/>
        <v>12.619892559699002</v>
      </c>
      <c r="H19" s="4"/>
      <c r="I19" s="4"/>
      <c r="J19" s="4"/>
      <c r="K19" s="4"/>
      <c r="L19" s="4"/>
      <c r="M19" s="4"/>
      <c r="N19" s="4"/>
      <c r="O19" s="4"/>
      <c r="P19" s="4"/>
      <c r="Q19" s="4"/>
      <c r="R19" s="4"/>
      <c r="S19" s="4"/>
      <c r="T19" s="4"/>
      <c r="U19" s="4"/>
      <c r="V19" s="4"/>
      <c r="W19" s="4"/>
    </row>
    <row r="20" spans="2:23" ht="12.75">
      <c r="B20" s="52">
        <f t="shared" si="3"/>
        <v>24</v>
      </c>
      <c r="C20" s="32">
        <f t="shared" si="0"/>
        <v>-1.6000000000000014</v>
      </c>
      <c r="D20" s="33">
        <f t="shared" si="4"/>
        <v>4.83157204699823</v>
      </c>
      <c r="E20" s="32">
        <f t="shared" si="1"/>
        <v>8</v>
      </c>
      <c r="F20" s="32">
        <f t="shared" si="5"/>
        <v>8.292190205993602</v>
      </c>
      <c r="G20" s="32">
        <f t="shared" si="2"/>
        <v>13.461218730345601</v>
      </c>
      <c r="H20" s="4"/>
      <c r="I20" s="4"/>
      <c r="J20" s="4"/>
      <c r="K20" s="4"/>
      <c r="L20" s="4"/>
      <c r="M20" s="4"/>
      <c r="N20" s="4"/>
      <c r="O20" s="4"/>
      <c r="P20" s="4"/>
      <c r="Q20" s="4"/>
      <c r="R20" s="4"/>
      <c r="S20" s="4"/>
      <c r="T20" s="4"/>
      <c r="U20" s="4"/>
      <c r="V20" s="4"/>
      <c r="W20" s="4"/>
    </row>
    <row r="21" spans="2:27" ht="13.5" thickBot="1">
      <c r="B21" s="52">
        <f t="shared" si="3"/>
        <v>25.5</v>
      </c>
      <c r="C21" s="32">
        <f t="shared" si="0"/>
        <v>-2.9499999999999993</v>
      </c>
      <c r="D21" s="33">
        <f t="shared" si="4"/>
        <v>4.398027467099359</v>
      </c>
      <c r="E21" s="32">
        <f t="shared" si="1"/>
        <v>7.25</v>
      </c>
      <c r="F21" s="32">
        <f t="shared" si="5"/>
        <v>7.721831764341168</v>
      </c>
      <c r="G21" s="32">
        <f t="shared" si="2"/>
        <v>14.302544900992201</v>
      </c>
      <c r="H21" s="4"/>
      <c r="I21" s="4"/>
      <c r="J21" s="4"/>
      <c r="K21" s="4"/>
      <c r="L21" s="4"/>
      <c r="M21" s="4"/>
      <c r="N21" s="4"/>
      <c r="O21" s="4"/>
      <c r="P21" s="4"/>
      <c r="Q21" s="4"/>
      <c r="R21" s="4"/>
      <c r="S21" s="4"/>
      <c r="T21" s="4"/>
      <c r="U21" s="4"/>
      <c r="V21" s="4"/>
      <c r="W21" s="4"/>
      <c r="AA21">
        <v>50</v>
      </c>
    </row>
    <row r="22" spans="2:23" ht="15.75">
      <c r="B22" s="52">
        <f t="shared" si="3"/>
        <v>27</v>
      </c>
      <c r="C22" s="32">
        <f t="shared" si="0"/>
        <v>-4.300000000000001</v>
      </c>
      <c r="D22" s="33">
        <f t="shared" si="4"/>
        <v>3.996405881037723</v>
      </c>
      <c r="E22" s="32">
        <f t="shared" si="1"/>
        <v>6.5</v>
      </c>
      <c r="F22" s="32">
        <f t="shared" si="5"/>
        <v>7.187290742775851</v>
      </c>
      <c r="G22" s="32">
        <f t="shared" si="2"/>
        <v>15.143871071638802</v>
      </c>
      <c r="H22" s="77" t="s">
        <v>58</v>
      </c>
      <c r="I22" s="78"/>
      <c r="J22" s="79"/>
      <c r="K22" s="14" t="s">
        <v>18</v>
      </c>
      <c r="L22" s="30">
        <f>UtilityMaximization!E2</f>
        <v>0.9</v>
      </c>
      <c r="M22" s="15">
        <f>AA21/100</f>
        <v>0.5</v>
      </c>
      <c r="N22" s="4"/>
      <c r="O22" s="4"/>
      <c r="P22" s="4"/>
      <c r="Q22" s="4"/>
      <c r="R22" s="4"/>
      <c r="S22" s="4"/>
      <c r="T22" s="4"/>
      <c r="U22" s="4"/>
      <c r="V22" s="4"/>
      <c r="W22" s="4"/>
    </row>
    <row r="23" spans="2:23" ht="12.75">
      <c r="B23" s="52">
        <f t="shared" si="3"/>
        <v>28.5</v>
      </c>
      <c r="C23" s="32">
        <f t="shared" si="0"/>
        <v>-5.650000000000002</v>
      </c>
      <c r="D23" s="33">
        <f t="shared" si="4"/>
        <v>3.624099054853913</v>
      </c>
      <c r="E23" s="32">
        <f t="shared" si="1"/>
        <v>5.75</v>
      </c>
      <c r="F23" s="32">
        <f t="shared" si="5"/>
        <v>6.685636784488465</v>
      </c>
      <c r="G23" s="32">
        <f t="shared" si="2"/>
        <v>15.985197242285402</v>
      </c>
      <c r="H23" s="83" t="s">
        <v>26</v>
      </c>
      <c r="I23" s="68"/>
      <c r="J23" s="18">
        <f>UtilityMaximization!K3</f>
        <v>10</v>
      </c>
      <c r="K23" s="45" t="s">
        <v>2</v>
      </c>
      <c r="L23" s="46">
        <f>UtilityMaximization!E3</f>
        <v>20</v>
      </c>
      <c r="M23" s="47">
        <v>20</v>
      </c>
      <c r="N23" s="4"/>
      <c r="O23" s="4"/>
      <c r="P23" s="4"/>
      <c r="Q23" s="4"/>
      <c r="R23" s="4"/>
      <c r="S23" s="4"/>
      <c r="T23" s="4"/>
      <c r="U23" s="4"/>
      <c r="V23" s="4"/>
      <c r="W23" s="4"/>
    </row>
    <row r="24" spans="2:23" ht="12.75">
      <c r="B24" s="52">
        <f t="shared" si="3"/>
        <v>30</v>
      </c>
      <c r="C24" s="32">
        <f t="shared" si="0"/>
        <v>-7</v>
      </c>
      <c r="D24" s="33">
        <f t="shared" si="4"/>
        <v>3.278837518089636</v>
      </c>
      <c r="E24" s="32">
        <f t="shared" si="1"/>
        <v>5</v>
      </c>
      <c r="F24" s="32">
        <f t="shared" si="5"/>
        <v>6.214320019548378</v>
      </c>
      <c r="G24" s="32">
        <f t="shared" si="2"/>
        <v>16.826523412932</v>
      </c>
      <c r="H24" s="83" t="s">
        <v>27</v>
      </c>
      <c r="I24" s="68"/>
      <c r="J24" s="18">
        <f>UtilityMaximization!K4</f>
        <v>0.4</v>
      </c>
      <c r="K24" s="16" t="s">
        <v>3</v>
      </c>
      <c r="L24" s="32">
        <f>UtilityMaximization!E4</f>
        <v>7.331438682985636</v>
      </c>
      <c r="M24" s="37">
        <v>18.852200558677314</v>
      </c>
      <c r="N24" s="4"/>
      <c r="O24" s="4"/>
      <c r="P24" s="4"/>
      <c r="Q24" s="4"/>
      <c r="R24" s="4"/>
      <c r="S24" s="4"/>
      <c r="T24" s="4"/>
      <c r="U24" s="4"/>
      <c r="V24" s="4"/>
      <c r="W24" s="4"/>
    </row>
    <row r="25" spans="2:23" ht="12.75">
      <c r="B25" s="52">
        <f t="shared" si="3"/>
        <v>31.5</v>
      </c>
      <c r="C25" s="32">
        <f t="shared" si="0"/>
        <v>-8.350000000000001</v>
      </c>
      <c r="D25" s="33">
        <f t="shared" si="4"/>
        <v>2.9586320122794083</v>
      </c>
      <c r="E25" s="32">
        <f t="shared" si="1"/>
        <v>4.25</v>
      </c>
      <c r="F25" s="32">
        <f t="shared" si="5"/>
        <v>5.771105282096368</v>
      </c>
      <c r="G25" s="32">
        <f t="shared" si="2"/>
        <v>17.6678495835786</v>
      </c>
      <c r="H25" s="83" t="s">
        <v>23</v>
      </c>
      <c r="I25" s="68"/>
      <c r="J25" s="18">
        <v>2.01</v>
      </c>
      <c r="K25" s="16" t="s">
        <v>4</v>
      </c>
      <c r="L25" s="32">
        <f>UtilityMaximization!E5</f>
        <v>13.401705131547963</v>
      </c>
      <c r="M25" s="37">
        <v>10.573899720661345</v>
      </c>
      <c r="N25" s="4"/>
      <c r="O25" s="4"/>
      <c r="P25" s="4"/>
      <c r="Q25" s="4"/>
      <c r="R25" s="4"/>
      <c r="S25" s="4"/>
      <c r="T25" s="4"/>
      <c r="U25" s="4"/>
      <c r="V25" s="4"/>
      <c r="W25" s="4"/>
    </row>
    <row r="26" spans="2:23" ht="13.5" thickBot="1">
      <c r="B26" s="52">
        <f t="shared" si="3"/>
        <v>33</v>
      </c>
      <c r="C26" s="32">
        <f t="shared" si="0"/>
        <v>-9.7</v>
      </c>
      <c r="D26" s="33">
        <f t="shared" si="4"/>
        <v>2.661727351809815</v>
      </c>
      <c r="E26" s="32">
        <f t="shared" si="1"/>
        <v>3.5</v>
      </c>
      <c r="F26" s="32">
        <f t="shared" si="5"/>
        <v>5.3540202713690075</v>
      </c>
      <c r="G26" s="32">
        <f t="shared" si="2"/>
        <v>18.5091757542252</v>
      </c>
      <c r="H26" s="81" t="s">
        <v>24</v>
      </c>
      <c r="I26" s="82"/>
      <c r="J26" s="20">
        <f>(1-J25)/J25</f>
        <v>-0.5024875621890547</v>
      </c>
      <c r="K26" s="31" t="s">
        <v>5</v>
      </c>
      <c r="L26" s="38">
        <f>UtilityMaximization!E6</f>
        <v>107.56660500777483</v>
      </c>
      <c r="M26" s="39">
        <f>J23*($J$24*M24^-$J$26+(1-$J$24)*M25^-$J$26)^-(1/$J$26)</f>
        <v>136.01389661750176</v>
      </c>
      <c r="N26" s="4"/>
      <c r="O26" s="4"/>
      <c r="P26" s="4"/>
      <c r="Q26" s="4"/>
      <c r="R26" s="4"/>
      <c r="S26" s="4"/>
      <c r="T26" s="4"/>
      <c r="U26" s="4"/>
      <c r="V26" s="4"/>
      <c r="W26" s="4"/>
    </row>
    <row r="27" spans="2:23" ht="12.75">
      <c r="B27" s="52">
        <f t="shared" si="3"/>
        <v>34.5</v>
      </c>
      <c r="C27" s="32">
        <f t="shared" si="0"/>
        <v>-11.05</v>
      </c>
      <c r="D27" s="33">
        <f t="shared" si="4"/>
        <v>2.386565625462869</v>
      </c>
      <c r="E27" s="32">
        <f t="shared" si="1"/>
        <v>2.75</v>
      </c>
      <c r="F27" s="32">
        <f t="shared" si="5"/>
        <v>4.961314205394825</v>
      </c>
      <c r="G27" s="32">
        <f t="shared" si="2"/>
        <v>19.350501924871804</v>
      </c>
      <c r="H27" s="65" t="s">
        <v>52</v>
      </c>
      <c r="I27" s="75"/>
      <c r="J27" s="5"/>
      <c r="K27" s="5"/>
      <c r="L27" s="5"/>
      <c r="M27" s="5"/>
      <c r="N27" s="4"/>
      <c r="O27" s="4"/>
      <c r="P27" s="4"/>
      <c r="Q27" s="4"/>
      <c r="R27" s="4"/>
      <c r="S27" s="4"/>
      <c r="T27" s="4"/>
      <c r="U27" s="4"/>
      <c r="V27" s="4"/>
      <c r="W27" s="4"/>
    </row>
    <row r="28" spans="2:23" ht="12.75">
      <c r="B28" s="52">
        <f t="shared" si="3"/>
        <v>36</v>
      </c>
      <c r="C28" s="32">
        <f t="shared" si="0"/>
        <v>-12.399999999999999</v>
      </c>
      <c r="D28" s="33">
        <f t="shared" si="4"/>
        <v>2.13175652711069</v>
      </c>
      <c r="E28" s="32">
        <f t="shared" si="1"/>
        <v>2</v>
      </c>
      <c r="F28" s="32">
        <f t="shared" si="5"/>
        <v>4.5914244825502974</v>
      </c>
      <c r="G28" s="32">
        <f t="shared" si="2"/>
        <v>20.191828095518403</v>
      </c>
      <c r="H28" s="4"/>
      <c r="I28" s="4"/>
      <c r="J28" s="4"/>
      <c r="K28" s="4"/>
      <c r="L28" s="4"/>
      <c r="M28" s="4"/>
      <c r="N28" s="4"/>
      <c r="O28" s="4"/>
      <c r="P28" s="4"/>
      <c r="Q28" s="4"/>
      <c r="R28" s="4"/>
      <c r="S28" s="4"/>
      <c r="T28" s="4"/>
      <c r="U28" s="4"/>
      <c r="V28" s="4"/>
      <c r="W28" s="4"/>
    </row>
    <row r="29" spans="2:23" ht="12.75">
      <c r="B29" s="52">
        <f t="shared" si="3"/>
        <v>37.5</v>
      </c>
      <c r="C29" s="32">
        <f t="shared" si="0"/>
        <v>-13.75</v>
      </c>
      <c r="D29" s="33">
        <f t="shared" si="4"/>
        <v>1.8960531977119044</v>
      </c>
      <c r="E29" s="32">
        <f t="shared" si="1"/>
        <v>1.25</v>
      </c>
      <c r="F29" s="32">
        <f t="shared" si="5"/>
        <v>4.242949533114693</v>
      </c>
      <c r="G29" s="32">
        <f t="shared" si="2"/>
        <v>21.033154266165003</v>
      </c>
      <c r="H29" s="4"/>
      <c r="I29" s="4"/>
      <c r="J29" s="4"/>
      <c r="K29" s="4"/>
      <c r="L29" s="4"/>
      <c r="M29" s="4"/>
      <c r="N29" s="4"/>
      <c r="O29" s="4"/>
      <c r="P29" s="4"/>
      <c r="Q29" s="4"/>
      <c r="R29" s="4"/>
      <c r="S29" s="4"/>
      <c r="T29" s="4"/>
      <c r="U29" s="4"/>
      <c r="V29" s="4"/>
      <c r="W29" s="4"/>
    </row>
    <row r="30" spans="2:23" ht="12.75">
      <c r="B30" s="52">
        <f t="shared" si="3"/>
        <v>39</v>
      </c>
      <c r="C30" s="32">
        <f t="shared" si="0"/>
        <v>-15.100000000000001</v>
      </c>
      <c r="D30" s="33">
        <f t="shared" si="4"/>
        <v>1.6783323778584718</v>
      </c>
      <c r="E30" s="32">
        <f t="shared" si="1"/>
        <v>0.5</v>
      </c>
      <c r="F30" s="32">
        <f t="shared" si="5"/>
        <v>3.914626511499728</v>
      </c>
      <c r="G30" s="32">
        <f t="shared" si="2"/>
        <v>21.874480436811602</v>
      </c>
      <c r="H30" s="4"/>
      <c r="I30" s="4"/>
      <c r="J30" s="4"/>
      <c r="K30" s="4"/>
      <c r="L30" s="4"/>
      <c r="M30" s="4"/>
      <c r="N30" s="4"/>
      <c r="O30" s="4"/>
      <c r="P30" s="4"/>
      <c r="Q30" s="4"/>
      <c r="R30" s="4"/>
      <c r="S30" s="4"/>
      <c r="T30" s="4"/>
      <c r="U30" s="4"/>
      <c r="V30" s="4"/>
      <c r="W30" s="4"/>
    </row>
    <row r="31" spans="2:23" ht="12.75">
      <c r="B31" s="52">
        <f t="shared" si="3"/>
        <v>40.5</v>
      </c>
      <c r="C31" s="32">
        <f t="shared" si="0"/>
        <v>-16.450000000000003</v>
      </c>
      <c r="D31" s="33">
        <f t="shared" si="4"/>
        <v>1.4775779679242034</v>
      </c>
      <c r="E31" s="32">
        <f t="shared" si="1"/>
        <v>-0.25</v>
      </c>
      <c r="F31" s="32">
        <f t="shared" si="5"/>
        <v>3.605312814312813</v>
      </c>
      <c r="G31" s="32">
        <f t="shared" si="2"/>
        <v>22.7158066074582</v>
      </c>
      <c r="H31" s="4"/>
      <c r="I31" s="4"/>
      <c r="J31" s="4"/>
      <c r="K31" s="4"/>
      <c r="L31" s="4"/>
      <c r="M31" s="4"/>
      <c r="N31" s="4"/>
      <c r="O31" s="4"/>
      <c r="P31" s="4"/>
      <c r="Q31" s="4"/>
      <c r="R31" s="4"/>
      <c r="S31" s="4"/>
      <c r="T31" s="4"/>
      <c r="U31" s="4"/>
      <c r="V31" s="4"/>
      <c r="W31" s="4"/>
    </row>
    <row r="32" spans="2:23" ht="12.75">
      <c r="B32" s="52">
        <f t="shared" si="3"/>
        <v>42</v>
      </c>
      <c r="C32" s="32">
        <f t="shared" si="0"/>
        <v>-17.800000000000004</v>
      </c>
      <c r="D32" s="33">
        <f t="shared" si="4"/>
        <v>1.2928673086581977</v>
      </c>
      <c r="E32" s="32">
        <f t="shared" si="1"/>
        <v>-1</v>
      </c>
      <c r="F32" s="32">
        <f t="shared" si="5"/>
        <v>3.313970651723383</v>
      </c>
      <c r="G32" s="32">
        <f t="shared" si="2"/>
        <v>23.5571327781048</v>
      </c>
      <c r="H32" s="4"/>
      <c r="I32" s="4"/>
      <c r="J32" s="4"/>
      <c r="K32" s="4"/>
      <c r="L32" s="4"/>
      <c r="M32" s="4"/>
      <c r="N32" s="4"/>
      <c r="O32" s="4"/>
      <c r="P32" s="4"/>
      <c r="Q32" s="4"/>
      <c r="R32" s="4"/>
      <c r="S32" s="4"/>
      <c r="T32" s="4"/>
      <c r="U32" s="4"/>
      <c r="V32" s="4"/>
      <c r="W32" s="4"/>
    </row>
    <row r="33" spans="2:23" ht="12.75">
      <c r="B33" s="52">
        <f t="shared" si="3"/>
        <v>43.5</v>
      </c>
      <c r="C33" s="32">
        <f t="shared" si="0"/>
        <v>-19.15</v>
      </c>
      <c r="D33" s="33">
        <f t="shared" si="4"/>
        <v>1.1233596535793784</v>
      </c>
      <c r="E33" s="32">
        <f t="shared" si="1"/>
        <v>-1.75</v>
      </c>
      <c r="F33" s="32">
        <f t="shared" si="5"/>
        <v>3.0396540775124423</v>
      </c>
      <c r="G33" s="32">
        <f t="shared" si="2"/>
        <v>24.398458948751404</v>
      </c>
      <c r="H33" s="4"/>
      <c r="I33" s="4"/>
      <c r="J33" s="4"/>
      <c r="K33" s="4"/>
      <c r="L33" s="4"/>
      <c r="M33" s="4"/>
      <c r="N33" s="4"/>
      <c r="O33" s="4"/>
      <c r="P33" s="4"/>
      <c r="Q33" s="4"/>
      <c r="R33" s="4"/>
      <c r="S33" s="4"/>
      <c r="T33" s="4"/>
      <c r="U33" s="4"/>
      <c r="V33" s="4"/>
      <c r="W33" s="4"/>
    </row>
    <row r="34" spans="2:23" ht="12.75">
      <c r="B34" s="52">
        <f t="shared" si="3"/>
        <v>45</v>
      </c>
      <c r="C34" s="32">
        <f t="shared" si="0"/>
        <v>-20.5</v>
      </c>
      <c r="D34" s="33">
        <f t="shared" si="4"/>
        <v>0.9682864224607524</v>
      </c>
      <c r="E34" s="32">
        <f t="shared" si="1"/>
        <v>-2.5</v>
      </c>
      <c r="F34" s="32">
        <f t="shared" si="5"/>
        <v>2.7814980154359183</v>
      </c>
      <c r="G34" s="32">
        <f t="shared" si="2"/>
        <v>25.239785119398004</v>
      </c>
      <c r="H34" s="4"/>
      <c r="I34" s="4"/>
      <c r="J34" s="4"/>
      <c r="K34" s="4"/>
      <c r="L34" s="4"/>
      <c r="M34" s="4"/>
      <c r="N34" s="4"/>
      <c r="O34" s="4"/>
      <c r="P34" s="4"/>
      <c r="Q34" s="4"/>
      <c r="R34" s="4"/>
      <c r="S34" s="4"/>
      <c r="T34" s="4"/>
      <c r="U34" s="4"/>
      <c r="V34" s="4"/>
      <c r="W34" s="4"/>
    </row>
    <row r="35" spans="2:23" ht="12.75">
      <c r="B35" s="4"/>
      <c r="C35" s="4"/>
      <c r="D35" s="4"/>
      <c r="E35" s="4"/>
      <c r="F35" s="4"/>
      <c r="G35" s="4"/>
      <c r="H35" s="4"/>
      <c r="I35" s="4"/>
      <c r="J35" s="4"/>
      <c r="K35" s="4"/>
      <c r="L35" s="4"/>
      <c r="M35" s="4"/>
      <c r="N35" s="4"/>
      <c r="O35" s="4"/>
      <c r="P35" s="4"/>
      <c r="Q35" s="4"/>
      <c r="R35" s="4"/>
      <c r="S35" s="4"/>
      <c r="T35" s="4"/>
      <c r="U35" s="4"/>
      <c r="V35" s="4"/>
      <c r="W35" s="4"/>
    </row>
    <row r="36" spans="2:23" ht="12.75">
      <c r="B36" s="4"/>
      <c r="C36" s="4"/>
      <c r="D36" s="4"/>
      <c r="E36" s="4"/>
      <c r="F36" s="4"/>
      <c r="G36" s="4"/>
      <c r="H36" s="4"/>
      <c r="I36" s="4"/>
      <c r="J36" s="4"/>
      <c r="K36" s="4"/>
      <c r="L36" s="4"/>
      <c r="M36" s="4"/>
      <c r="N36" s="4"/>
      <c r="O36" s="4"/>
      <c r="P36" s="4"/>
      <c r="Q36" s="4"/>
      <c r="R36" s="4"/>
      <c r="S36" s="4"/>
      <c r="T36" s="4"/>
      <c r="U36" s="4"/>
      <c r="V36" s="4"/>
      <c r="W36" s="4"/>
    </row>
    <row r="37" spans="2:23" ht="12.75">
      <c r="B37" s="4"/>
      <c r="C37" s="4"/>
      <c r="D37" s="4"/>
      <c r="E37" s="4"/>
      <c r="F37" s="4"/>
      <c r="G37" s="4"/>
      <c r="H37" s="4"/>
      <c r="I37" s="4"/>
      <c r="J37" s="4"/>
      <c r="K37" s="4"/>
      <c r="L37" s="4"/>
      <c r="M37" s="4"/>
      <c r="N37" s="4"/>
      <c r="O37" s="4"/>
      <c r="P37" s="4"/>
      <c r="Q37" s="4"/>
      <c r="R37" s="4"/>
      <c r="S37" s="4"/>
      <c r="T37" s="4"/>
      <c r="U37" s="4"/>
      <c r="V37" s="4"/>
      <c r="W37" s="4"/>
    </row>
    <row r="38" spans="2:23" ht="12.75">
      <c r="B38" s="4"/>
      <c r="C38" s="4"/>
      <c r="D38" s="4"/>
      <c r="E38" s="4"/>
      <c r="F38" s="4"/>
      <c r="G38" s="4"/>
      <c r="H38" s="4"/>
      <c r="I38" s="4"/>
      <c r="J38" s="4"/>
      <c r="K38" s="4"/>
      <c r="L38" s="4"/>
      <c r="M38" s="4"/>
      <c r="N38" s="4"/>
      <c r="O38" s="4"/>
      <c r="P38" s="4"/>
      <c r="Q38" s="4"/>
      <c r="R38" s="4"/>
      <c r="S38" s="4"/>
      <c r="T38" s="4"/>
      <c r="U38" s="4"/>
      <c r="V38" s="4"/>
      <c r="W38" s="4"/>
    </row>
    <row r="39" spans="2:23" ht="12.75">
      <c r="B39" s="4"/>
      <c r="C39" s="4"/>
      <c r="D39" s="4"/>
      <c r="E39" s="4"/>
      <c r="F39" s="4"/>
      <c r="G39" s="4"/>
      <c r="H39" s="4"/>
      <c r="I39" s="4"/>
      <c r="J39" s="4"/>
      <c r="K39" s="4"/>
      <c r="L39" s="4"/>
      <c r="M39" s="4"/>
      <c r="N39" s="4"/>
      <c r="O39" s="4"/>
      <c r="P39" s="4"/>
      <c r="Q39" s="4"/>
      <c r="R39" s="4"/>
      <c r="S39" s="4"/>
      <c r="T39" s="4"/>
      <c r="U39" s="4"/>
      <c r="V39" s="4"/>
      <c r="W39" s="4"/>
    </row>
    <row r="40" spans="2:23" ht="12.75">
      <c r="B40" s="4"/>
      <c r="C40" s="4"/>
      <c r="D40" s="4"/>
      <c r="E40" s="4"/>
      <c r="F40" s="4"/>
      <c r="G40" s="4"/>
      <c r="H40" s="4"/>
      <c r="I40" s="4"/>
      <c r="J40" s="4"/>
      <c r="K40" s="4"/>
      <c r="L40" s="4"/>
      <c r="M40" s="4"/>
      <c r="N40" s="4"/>
      <c r="O40" s="4"/>
      <c r="P40" s="4"/>
      <c r="Q40" s="4"/>
      <c r="R40" s="4"/>
      <c r="S40" s="4"/>
      <c r="T40" s="4"/>
      <c r="U40" s="4"/>
      <c r="V40" s="4"/>
      <c r="W40" s="4"/>
    </row>
    <row r="41" spans="2:23" ht="12.75">
      <c r="B41" s="4"/>
      <c r="C41" s="4"/>
      <c r="D41" s="4"/>
      <c r="E41" s="4"/>
      <c r="F41" s="4"/>
      <c r="G41" s="4"/>
      <c r="H41" s="4"/>
      <c r="I41" s="4"/>
      <c r="J41" s="4"/>
      <c r="K41" s="4"/>
      <c r="L41" s="4"/>
      <c r="M41" s="4"/>
      <c r="N41" s="4"/>
      <c r="O41" s="4"/>
      <c r="P41" s="4"/>
      <c r="Q41" s="4"/>
      <c r="R41" s="4"/>
      <c r="S41" s="4"/>
      <c r="T41" s="4"/>
      <c r="U41" s="4"/>
      <c r="V41" s="4"/>
      <c r="W41" s="4"/>
    </row>
    <row r="42" spans="2:23" ht="12.75">
      <c r="B42" s="4"/>
      <c r="C42" s="4"/>
      <c r="D42" s="4"/>
      <c r="E42" s="4"/>
      <c r="F42" s="4"/>
      <c r="G42" s="4"/>
      <c r="H42" s="4"/>
      <c r="I42" s="4"/>
      <c r="J42" s="4"/>
      <c r="K42" s="4"/>
      <c r="L42" s="4"/>
      <c r="M42" s="4"/>
      <c r="N42" s="4"/>
      <c r="O42" s="4"/>
      <c r="P42" s="4"/>
      <c r="Q42" s="4"/>
      <c r="R42" s="4"/>
      <c r="S42" s="4"/>
      <c r="T42" s="4"/>
      <c r="U42" s="4"/>
      <c r="V42" s="4"/>
      <c r="W42" s="4"/>
    </row>
    <row r="43" spans="2:23" ht="12.75">
      <c r="B43" s="4"/>
      <c r="C43" s="4"/>
      <c r="D43" s="4"/>
      <c r="E43" s="4"/>
      <c r="F43" s="4"/>
      <c r="G43" s="4"/>
      <c r="H43" s="4"/>
      <c r="I43" s="4"/>
      <c r="J43" s="4"/>
      <c r="K43" s="4"/>
      <c r="L43" s="4"/>
      <c r="M43" s="4"/>
      <c r="N43" s="4"/>
      <c r="O43" s="4"/>
      <c r="P43" s="4"/>
      <c r="Q43" s="4"/>
      <c r="R43" s="4"/>
      <c r="S43" s="4"/>
      <c r="T43" s="4"/>
      <c r="U43" s="4"/>
      <c r="V43" s="4"/>
      <c r="W43" s="4"/>
    </row>
    <row r="44" spans="2:23" ht="12.75">
      <c r="B44" s="4"/>
      <c r="C44" s="4"/>
      <c r="D44" s="4"/>
      <c r="E44" s="4"/>
      <c r="F44" s="4"/>
      <c r="G44" s="4"/>
      <c r="H44" s="4"/>
      <c r="I44" s="4"/>
      <c r="J44" s="4"/>
      <c r="K44" s="4"/>
      <c r="L44" s="4"/>
      <c r="M44" s="4"/>
      <c r="N44" s="4"/>
      <c r="O44" s="4"/>
      <c r="P44" s="4"/>
      <c r="Q44" s="4"/>
      <c r="R44" s="4"/>
      <c r="S44" s="4"/>
      <c r="T44" s="4"/>
      <c r="U44" s="4"/>
      <c r="V44" s="4"/>
      <c r="W44" s="4"/>
    </row>
    <row r="45" spans="2:23" ht="12.75">
      <c r="B45" s="4"/>
      <c r="C45" s="4"/>
      <c r="D45" s="4"/>
      <c r="E45" s="4"/>
      <c r="F45" s="4"/>
      <c r="G45" s="4"/>
      <c r="H45" s="4"/>
      <c r="I45" s="4"/>
      <c r="J45" s="4"/>
      <c r="K45" s="4"/>
      <c r="L45" s="4"/>
      <c r="M45" s="4"/>
      <c r="N45" s="4"/>
      <c r="O45" s="4"/>
      <c r="P45" s="4"/>
      <c r="Q45" s="4"/>
      <c r="R45" s="4"/>
      <c r="S45" s="4"/>
      <c r="T45" s="4"/>
      <c r="U45" s="4"/>
      <c r="V45" s="4"/>
      <c r="W45" s="4"/>
    </row>
    <row r="46" spans="2:23" ht="12.75">
      <c r="B46" s="4"/>
      <c r="C46" s="4"/>
      <c r="D46" s="4"/>
      <c r="E46" s="4"/>
      <c r="F46" s="4"/>
      <c r="G46" s="4"/>
      <c r="H46" s="4"/>
      <c r="I46" s="4"/>
      <c r="J46" s="4"/>
      <c r="K46" s="4"/>
      <c r="L46" s="4"/>
      <c r="M46" s="4"/>
      <c r="N46" s="4"/>
      <c r="O46" s="4"/>
      <c r="P46" s="4"/>
      <c r="Q46" s="4"/>
      <c r="R46" s="4"/>
      <c r="S46" s="4"/>
      <c r="T46" s="4"/>
      <c r="U46" s="4"/>
      <c r="V46" s="4"/>
      <c r="W46" s="4"/>
    </row>
    <row r="47" spans="2:23" ht="12.75">
      <c r="B47" s="4"/>
      <c r="C47" s="4"/>
      <c r="D47" s="4"/>
      <c r="E47" s="4"/>
      <c r="F47" s="4"/>
      <c r="G47" s="4"/>
      <c r="H47" s="4"/>
      <c r="I47" s="4"/>
      <c r="J47" s="4"/>
      <c r="K47" s="4"/>
      <c r="L47" s="4"/>
      <c r="M47" s="4"/>
      <c r="N47" s="4"/>
      <c r="O47" s="4"/>
      <c r="P47" s="4"/>
      <c r="Q47" s="4"/>
      <c r="R47" s="4"/>
      <c r="S47" s="4"/>
      <c r="T47" s="4"/>
      <c r="U47" s="4"/>
      <c r="V47" s="4"/>
      <c r="W47" s="4"/>
    </row>
    <row r="48" spans="2:23" ht="12.75">
      <c r="B48" s="4"/>
      <c r="C48" s="4"/>
      <c r="D48" s="4"/>
      <c r="E48" s="4"/>
      <c r="F48" s="4"/>
      <c r="G48" s="4"/>
      <c r="H48" s="4"/>
      <c r="I48" s="4"/>
      <c r="J48" s="4"/>
      <c r="K48" s="4"/>
      <c r="L48" s="4"/>
      <c r="M48" s="4"/>
      <c r="N48" s="4"/>
      <c r="O48" s="4"/>
      <c r="P48" s="4"/>
      <c r="Q48" s="4"/>
      <c r="R48" s="4"/>
      <c r="S48" s="4"/>
      <c r="T48" s="4"/>
      <c r="U48" s="4"/>
      <c r="V48" s="4"/>
      <c r="W48" s="4"/>
    </row>
    <row r="49" spans="2:23" ht="12.75">
      <c r="B49" s="4"/>
      <c r="C49" s="4"/>
      <c r="D49" s="4"/>
      <c r="E49" s="4"/>
      <c r="F49" s="4"/>
      <c r="G49" s="4"/>
      <c r="H49" s="4"/>
      <c r="I49" s="4"/>
      <c r="J49" s="4"/>
      <c r="K49" s="4"/>
      <c r="L49" s="4"/>
      <c r="M49" s="4"/>
      <c r="N49" s="4"/>
      <c r="O49" s="4"/>
      <c r="P49" s="4"/>
      <c r="Q49" s="4"/>
      <c r="R49" s="4"/>
      <c r="S49" s="4"/>
      <c r="T49" s="4"/>
      <c r="U49" s="4"/>
      <c r="V49" s="4"/>
      <c r="W49" s="4"/>
    </row>
    <row r="50" spans="2:23" ht="12.75">
      <c r="B50" s="4"/>
      <c r="C50" s="4"/>
      <c r="D50" s="4"/>
      <c r="E50" s="4"/>
      <c r="F50" s="4"/>
      <c r="G50" s="4"/>
      <c r="H50" s="4"/>
      <c r="I50" s="4"/>
      <c r="J50" s="4"/>
      <c r="K50" s="4"/>
      <c r="L50" s="4"/>
      <c r="M50" s="4"/>
      <c r="N50" s="4"/>
      <c r="O50" s="4"/>
      <c r="P50" s="4"/>
      <c r="Q50" s="4"/>
      <c r="R50" s="4"/>
      <c r="S50" s="4"/>
      <c r="T50" s="4"/>
      <c r="U50" s="4"/>
      <c r="V50" s="4"/>
      <c r="W50" s="4"/>
    </row>
    <row r="51" spans="2:23" ht="12.75">
      <c r="B51" s="4"/>
      <c r="C51" s="4"/>
      <c r="D51" s="4"/>
      <c r="E51" s="4"/>
      <c r="F51" s="4"/>
      <c r="G51" s="4"/>
      <c r="H51" s="4"/>
      <c r="I51" s="4"/>
      <c r="J51" s="4"/>
      <c r="K51" s="4"/>
      <c r="L51" s="4"/>
      <c r="M51" s="4"/>
      <c r="N51" s="4"/>
      <c r="O51" s="4"/>
      <c r="P51" s="4"/>
      <c r="Q51" s="4"/>
      <c r="R51" s="4"/>
      <c r="S51" s="4"/>
      <c r="T51" s="4"/>
      <c r="U51" s="4"/>
      <c r="V51" s="4"/>
      <c r="W51" s="4"/>
    </row>
    <row r="52" spans="2:23" ht="12.75">
      <c r="B52" s="4"/>
      <c r="C52" s="4"/>
      <c r="D52" s="4"/>
      <c r="E52" s="4"/>
      <c r="F52" s="4"/>
      <c r="G52" s="4"/>
      <c r="H52" s="4"/>
      <c r="I52" s="4"/>
      <c r="J52" s="4"/>
      <c r="K52" s="4"/>
      <c r="L52" s="4"/>
      <c r="M52" s="4"/>
      <c r="N52" s="4"/>
      <c r="O52" s="4"/>
      <c r="P52" s="4"/>
      <c r="Q52" s="4"/>
      <c r="R52" s="4"/>
      <c r="S52" s="4"/>
      <c r="T52" s="4"/>
      <c r="U52" s="4"/>
      <c r="V52" s="4"/>
      <c r="W52" s="4"/>
    </row>
    <row r="53" spans="2:23" ht="12.75">
      <c r="B53" s="4"/>
      <c r="C53" s="4"/>
      <c r="D53" s="4"/>
      <c r="E53" s="4"/>
      <c r="F53" s="4"/>
      <c r="G53" s="4"/>
      <c r="H53" s="4"/>
      <c r="I53" s="4"/>
      <c r="J53" s="4"/>
      <c r="K53" s="4"/>
      <c r="L53" s="4"/>
      <c r="M53" s="4"/>
      <c r="N53" s="4"/>
      <c r="O53" s="4"/>
      <c r="P53" s="4"/>
      <c r="Q53" s="4"/>
      <c r="R53" s="4"/>
      <c r="S53" s="4"/>
      <c r="T53" s="4"/>
      <c r="U53" s="4"/>
      <c r="V53" s="4"/>
      <c r="W53" s="4"/>
    </row>
    <row r="54" spans="2:23" ht="12.75">
      <c r="B54" s="4"/>
      <c r="C54" s="4"/>
      <c r="D54" s="4"/>
      <c r="E54" s="4"/>
      <c r="F54" s="4"/>
      <c r="G54" s="4"/>
      <c r="H54" s="4"/>
      <c r="I54" s="4"/>
      <c r="J54" s="4"/>
      <c r="K54" s="4"/>
      <c r="L54" s="4"/>
      <c r="M54" s="4"/>
      <c r="N54" s="4"/>
      <c r="O54" s="4"/>
      <c r="P54" s="4"/>
      <c r="Q54" s="4"/>
      <c r="R54" s="4"/>
      <c r="S54" s="4"/>
      <c r="T54" s="4"/>
      <c r="U54" s="4"/>
      <c r="V54" s="4"/>
      <c r="W54" s="4"/>
    </row>
    <row r="55" spans="2:23" ht="12.75">
      <c r="B55" s="4"/>
      <c r="C55" s="4"/>
      <c r="D55" s="4"/>
      <c r="E55" s="4"/>
      <c r="F55" s="4"/>
      <c r="G55" s="4"/>
      <c r="H55" s="4"/>
      <c r="I55" s="4"/>
      <c r="J55" s="4"/>
      <c r="K55" s="4"/>
      <c r="L55" s="4"/>
      <c r="M55" s="4"/>
      <c r="N55" s="4"/>
      <c r="O55" s="4"/>
      <c r="P55" s="4"/>
      <c r="Q55" s="4"/>
      <c r="R55" s="4"/>
      <c r="S55" s="4"/>
      <c r="T55" s="4"/>
      <c r="U55" s="4"/>
      <c r="V55" s="4"/>
      <c r="W55" s="4"/>
    </row>
    <row r="56" spans="2:23" ht="12.75">
      <c r="B56" s="4"/>
      <c r="C56" s="4"/>
      <c r="D56" s="4"/>
      <c r="E56" s="4"/>
      <c r="F56" s="4"/>
      <c r="G56" s="4"/>
      <c r="H56" s="4"/>
      <c r="I56" s="4"/>
      <c r="J56" s="4"/>
      <c r="K56" s="4"/>
      <c r="L56" s="4"/>
      <c r="M56" s="4"/>
      <c r="N56" s="4"/>
      <c r="O56" s="4"/>
      <c r="P56" s="4"/>
      <c r="Q56" s="4"/>
      <c r="R56" s="4"/>
      <c r="S56" s="4"/>
      <c r="T56" s="4"/>
      <c r="U56" s="4"/>
      <c r="V56" s="4"/>
      <c r="W56" s="4"/>
    </row>
    <row r="57" spans="2:23" ht="12.75">
      <c r="B57" s="4"/>
      <c r="C57" s="4"/>
      <c r="D57" s="4"/>
      <c r="E57" s="4"/>
      <c r="F57" s="4"/>
      <c r="G57" s="4"/>
      <c r="H57" s="4"/>
      <c r="I57" s="4"/>
      <c r="J57" s="4"/>
      <c r="K57" s="4"/>
      <c r="L57" s="4"/>
      <c r="M57" s="4"/>
      <c r="N57" s="4"/>
      <c r="O57" s="4"/>
      <c r="P57" s="4"/>
      <c r="Q57" s="4"/>
      <c r="R57" s="4"/>
      <c r="S57" s="4"/>
      <c r="T57" s="4"/>
      <c r="U57" s="4"/>
      <c r="V57" s="4"/>
      <c r="W57" s="4"/>
    </row>
    <row r="58" spans="2:23" ht="12.75">
      <c r="B58" s="4"/>
      <c r="C58" s="4"/>
      <c r="D58" s="4"/>
      <c r="E58" s="4"/>
      <c r="F58" s="4"/>
      <c r="G58" s="4"/>
      <c r="H58" s="4"/>
      <c r="I58" s="4"/>
      <c r="J58" s="4"/>
      <c r="K58" s="4"/>
      <c r="L58" s="4"/>
      <c r="M58" s="4"/>
      <c r="N58" s="4"/>
      <c r="O58" s="4"/>
      <c r="P58" s="4"/>
      <c r="Q58" s="4"/>
      <c r="R58" s="4"/>
      <c r="S58" s="4"/>
      <c r="T58" s="4"/>
      <c r="U58" s="4"/>
      <c r="V58" s="4"/>
      <c r="W58" s="4"/>
    </row>
    <row r="59" spans="2:23" ht="12.75">
      <c r="B59" s="4"/>
      <c r="C59" s="4"/>
      <c r="D59" s="4"/>
      <c r="E59" s="4"/>
      <c r="F59" s="4"/>
      <c r="G59" s="4"/>
      <c r="H59" s="4"/>
      <c r="I59" s="4"/>
      <c r="J59" s="4"/>
      <c r="K59" s="4"/>
      <c r="L59" s="4"/>
      <c r="M59" s="4"/>
      <c r="N59" s="4"/>
      <c r="O59" s="4"/>
      <c r="P59" s="4"/>
      <c r="Q59" s="4"/>
      <c r="R59" s="4"/>
      <c r="S59" s="4"/>
      <c r="T59" s="4"/>
      <c r="U59" s="4"/>
      <c r="V59" s="4"/>
      <c r="W59" s="4"/>
    </row>
    <row r="60" spans="2:23" ht="12.75">
      <c r="B60" s="4"/>
      <c r="C60" s="4"/>
      <c r="D60" s="4"/>
      <c r="E60" s="4"/>
      <c r="F60" s="4"/>
      <c r="G60" s="4"/>
      <c r="H60" s="4"/>
      <c r="I60" s="4"/>
      <c r="J60" s="4"/>
      <c r="K60" s="4"/>
      <c r="L60" s="4"/>
      <c r="M60" s="4"/>
      <c r="N60" s="4"/>
      <c r="O60" s="4"/>
      <c r="P60" s="4"/>
      <c r="Q60" s="4"/>
      <c r="R60" s="4"/>
      <c r="S60" s="4"/>
      <c r="T60" s="4"/>
      <c r="U60" s="4"/>
      <c r="V60" s="4"/>
      <c r="W60" s="4"/>
    </row>
    <row r="61" spans="2:23" ht="12.75">
      <c r="B61" s="4"/>
      <c r="C61" s="4"/>
      <c r="D61" s="4"/>
      <c r="E61" s="4"/>
      <c r="F61" s="4"/>
      <c r="G61" s="4"/>
      <c r="H61" s="4"/>
      <c r="I61" s="4"/>
      <c r="J61" s="4"/>
      <c r="K61" s="4"/>
      <c r="L61" s="4"/>
      <c r="M61" s="4"/>
      <c r="N61" s="4"/>
      <c r="O61" s="4"/>
      <c r="P61" s="4"/>
      <c r="Q61" s="4"/>
      <c r="R61" s="4"/>
      <c r="S61" s="4"/>
      <c r="T61" s="4"/>
      <c r="U61" s="4"/>
      <c r="V61" s="4"/>
      <c r="W61" s="4"/>
    </row>
    <row r="62" spans="2:23" ht="12.75">
      <c r="B62" s="4"/>
      <c r="C62" s="4"/>
      <c r="D62" s="4"/>
      <c r="E62" s="4"/>
      <c r="F62" s="4"/>
      <c r="G62" s="4"/>
      <c r="H62" s="4"/>
      <c r="I62" s="4"/>
      <c r="J62" s="4"/>
      <c r="K62" s="4"/>
      <c r="L62" s="4"/>
      <c r="M62" s="4"/>
      <c r="N62" s="4"/>
      <c r="O62" s="4"/>
      <c r="P62" s="4"/>
      <c r="Q62" s="4"/>
      <c r="R62" s="4"/>
      <c r="S62" s="4"/>
      <c r="T62" s="4"/>
      <c r="U62" s="4"/>
      <c r="V62" s="4"/>
      <c r="W62" s="4"/>
    </row>
    <row r="63" spans="2:23" ht="12.75">
      <c r="B63" s="4"/>
      <c r="C63" s="4"/>
      <c r="D63" s="4"/>
      <c r="E63" s="4"/>
      <c r="F63" s="4"/>
      <c r="G63" s="4"/>
      <c r="H63" s="4"/>
      <c r="I63" s="4"/>
      <c r="J63" s="4"/>
      <c r="K63" s="4"/>
      <c r="L63" s="4"/>
      <c r="M63" s="4"/>
      <c r="N63" s="4"/>
      <c r="O63" s="4"/>
      <c r="P63" s="4"/>
      <c r="Q63" s="4"/>
      <c r="R63" s="4"/>
      <c r="S63" s="4"/>
      <c r="T63" s="4"/>
      <c r="U63" s="4"/>
      <c r="V63" s="4"/>
      <c r="W63" s="4"/>
    </row>
    <row r="64" spans="2:23" ht="12.75">
      <c r="B64" s="4"/>
      <c r="C64" s="4"/>
      <c r="D64" s="4"/>
      <c r="E64" s="4"/>
      <c r="F64" s="4"/>
      <c r="G64" s="4"/>
      <c r="H64" s="4"/>
      <c r="I64" s="4"/>
      <c r="J64" s="4"/>
      <c r="K64" s="4"/>
      <c r="L64" s="4"/>
      <c r="M64" s="4"/>
      <c r="N64" s="4"/>
      <c r="O64" s="4"/>
      <c r="P64" s="4"/>
      <c r="Q64" s="4"/>
      <c r="R64" s="4"/>
      <c r="S64" s="4"/>
      <c r="T64" s="4"/>
      <c r="U64" s="4"/>
      <c r="V64" s="4"/>
      <c r="W64" s="4"/>
    </row>
    <row r="65" spans="2:23" ht="12.75">
      <c r="B65" s="4"/>
      <c r="C65" s="4"/>
      <c r="D65" s="4"/>
      <c r="E65" s="4"/>
      <c r="F65" s="4"/>
      <c r="G65" s="4"/>
      <c r="H65" s="4"/>
      <c r="I65" s="4"/>
      <c r="J65" s="4"/>
      <c r="K65" s="4"/>
      <c r="L65" s="4"/>
      <c r="M65" s="4"/>
      <c r="N65" s="4"/>
      <c r="O65" s="4"/>
      <c r="P65" s="4"/>
      <c r="Q65" s="4"/>
      <c r="R65" s="4"/>
      <c r="S65" s="4"/>
      <c r="T65" s="4"/>
      <c r="U65" s="4"/>
      <c r="V65" s="4"/>
      <c r="W65" s="4"/>
    </row>
    <row r="66" spans="2:23" ht="12.75">
      <c r="B66" s="4"/>
      <c r="C66" s="4"/>
      <c r="D66" s="4"/>
      <c r="E66" s="4"/>
      <c r="F66" s="4"/>
      <c r="G66" s="4"/>
      <c r="H66" s="4"/>
      <c r="I66" s="4"/>
      <c r="J66" s="4"/>
      <c r="K66" s="4"/>
      <c r="L66" s="4"/>
      <c r="M66" s="4"/>
      <c r="N66" s="4"/>
      <c r="O66" s="4"/>
      <c r="P66" s="4"/>
      <c r="Q66" s="4"/>
      <c r="R66" s="4"/>
      <c r="S66" s="4"/>
      <c r="T66" s="4"/>
      <c r="U66" s="4"/>
      <c r="V66" s="4"/>
      <c r="W66" s="4"/>
    </row>
    <row r="67" spans="2:23" ht="12.75">
      <c r="B67" s="4"/>
      <c r="C67" s="4"/>
      <c r="D67" s="4"/>
      <c r="E67" s="4"/>
      <c r="F67" s="4"/>
      <c r="G67" s="4"/>
      <c r="H67" s="4"/>
      <c r="I67" s="4"/>
      <c r="J67" s="4"/>
      <c r="K67" s="4"/>
      <c r="L67" s="4"/>
      <c r="M67" s="4"/>
      <c r="N67" s="4"/>
      <c r="O67" s="4"/>
      <c r="P67" s="4"/>
      <c r="Q67" s="4"/>
      <c r="R67" s="4"/>
      <c r="S67" s="4"/>
      <c r="T67" s="4"/>
      <c r="U67" s="4"/>
      <c r="V67" s="4"/>
      <c r="W67" s="4"/>
    </row>
    <row r="68" spans="2:23" ht="12.75">
      <c r="B68" s="4"/>
      <c r="C68" s="4"/>
      <c r="D68" s="4"/>
      <c r="E68" s="4"/>
      <c r="F68" s="4"/>
      <c r="G68" s="4"/>
      <c r="H68" s="4"/>
      <c r="I68" s="4"/>
      <c r="J68" s="4"/>
      <c r="K68" s="4"/>
      <c r="L68" s="4"/>
      <c r="M68" s="4"/>
      <c r="N68" s="4"/>
      <c r="O68" s="4"/>
      <c r="P68" s="4"/>
      <c r="Q68" s="4"/>
      <c r="R68" s="4"/>
      <c r="S68" s="4"/>
      <c r="T68" s="4"/>
      <c r="U68" s="4"/>
      <c r="V68" s="4"/>
      <c r="W68" s="4"/>
    </row>
  </sheetData>
  <mergeCells count="7">
    <mergeCell ref="B2:G2"/>
    <mergeCell ref="H26:I26"/>
    <mergeCell ref="H27:I27"/>
    <mergeCell ref="H22:J22"/>
    <mergeCell ref="H23:I23"/>
    <mergeCell ref="H24:I24"/>
    <mergeCell ref="H25:I25"/>
  </mergeCells>
  <printOptions/>
  <pageMargins left="0.75" right="0.75" top="1" bottom="1" header="0.5" footer="0.5"/>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7"/>
  <dimension ref="B2:V67"/>
  <sheetViews>
    <sheetView workbookViewId="0" topLeftCell="A1">
      <selection activeCell="H30" sqref="H30"/>
    </sheetView>
  </sheetViews>
  <sheetFormatPr defaultColWidth="9.140625" defaultRowHeight="12.75"/>
  <cols>
    <col min="1" max="1" width="3.28125" style="4" customWidth="1"/>
    <col min="2" max="2" width="5.00390625" style="11" bestFit="1" customWidth="1"/>
    <col min="3" max="3" width="9.28125" style="11" bestFit="1" customWidth="1"/>
    <col min="4" max="4" width="7.8515625" style="11" customWidth="1"/>
    <col min="5" max="5" width="10.7109375" style="11" customWidth="1"/>
    <col min="6" max="6" width="9.00390625" style="11" customWidth="1"/>
    <col min="7" max="7" width="5.421875" style="0" customWidth="1"/>
    <col min="8" max="8" width="9.28125" style="0" customWidth="1"/>
    <col min="9" max="9" width="8.57421875" style="0" customWidth="1"/>
    <col min="10" max="10" width="5.7109375" style="0" customWidth="1"/>
  </cols>
  <sheetData>
    <row r="1" s="4" customFormat="1" ht="13.5" thickBot="1"/>
    <row r="2" spans="2:22" ht="15.75">
      <c r="B2" s="8" t="s">
        <v>0</v>
      </c>
      <c r="C2" s="8" t="s">
        <v>59</v>
      </c>
      <c r="D2" s="8" t="s">
        <v>60</v>
      </c>
      <c r="E2" s="8" t="s">
        <v>61</v>
      </c>
      <c r="F2" s="8" t="s">
        <v>62</v>
      </c>
      <c r="G2" s="8" t="s">
        <v>18</v>
      </c>
      <c r="H2" s="23">
        <f>UtilityMaximization!E2</f>
        <v>0.9</v>
      </c>
      <c r="I2" s="23">
        <f>'Price Change no Compensation'!M22</f>
        <v>0.5</v>
      </c>
      <c r="J2" s="4"/>
      <c r="K2" s="4"/>
      <c r="L2" s="87" t="s">
        <v>54</v>
      </c>
      <c r="M2" s="88"/>
      <c r="N2" s="89"/>
      <c r="O2" s="4"/>
      <c r="P2" s="4"/>
      <c r="Q2" s="4"/>
      <c r="R2" s="4"/>
      <c r="S2" s="4"/>
      <c r="T2" s="4"/>
      <c r="U2" s="4"/>
      <c r="V2" s="4"/>
    </row>
    <row r="3" spans="2:22" ht="12.75">
      <c r="B3" s="52">
        <v>0</v>
      </c>
      <c r="C3" s="8">
        <f>H$3-H$2*B3</f>
        <v>20</v>
      </c>
      <c r="D3" s="32"/>
      <c r="E3" s="32">
        <f>I$3-I$2*B3</f>
        <v>16.024860187360957</v>
      </c>
      <c r="F3" s="32"/>
      <c r="G3" s="8" t="s">
        <v>2</v>
      </c>
      <c r="H3" s="23">
        <f>UtilityMaximization!E3</f>
        <v>20</v>
      </c>
      <c r="I3" s="23">
        <f>I2*I4+I5</f>
        <v>16.024860187360957</v>
      </c>
      <c r="J3" s="4"/>
      <c r="K3" s="4"/>
      <c r="L3" s="83" t="s">
        <v>26</v>
      </c>
      <c r="M3" s="68"/>
      <c r="N3" s="18">
        <f>UtilityMaximization!K3</f>
        <v>10</v>
      </c>
      <c r="O3" s="4"/>
      <c r="P3" s="4"/>
      <c r="Q3" s="4"/>
      <c r="R3" s="4"/>
      <c r="S3" s="4"/>
      <c r="T3" s="4"/>
      <c r="U3" s="4"/>
      <c r="V3" s="4"/>
    </row>
    <row r="4" spans="2:22" ht="12.75">
      <c r="B4" s="52">
        <f>B3+1.5</f>
        <v>1.5</v>
      </c>
      <c r="C4" s="8">
        <f aca="true" t="shared" si="0" ref="C4:C33">H$3-H$2*B4</f>
        <v>18.65</v>
      </c>
      <c r="D4" s="32"/>
      <c r="E4" s="32">
        <f aca="true" t="shared" si="1" ref="E4:E33">I$3-I$2*B4</f>
        <v>15.274860187360957</v>
      </c>
      <c r="F4" s="32"/>
      <c r="G4" s="8" t="s">
        <v>3</v>
      </c>
      <c r="H4" s="32">
        <f>UtilityMaximization!E4</f>
        <v>7.331438682985636</v>
      </c>
      <c r="I4" s="32">
        <v>12.182185336683931</v>
      </c>
      <c r="J4" s="4"/>
      <c r="K4" s="4"/>
      <c r="L4" s="83" t="s">
        <v>27</v>
      </c>
      <c r="M4" s="68"/>
      <c r="N4" s="18">
        <f>UtilityMaximization!K4</f>
        <v>0.4</v>
      </c>
      <c r="O4" s="4"/>
      <c r="P4" s="4"/>
      <c r="Q4" s="4"/>
      <c r="R4" s="4"/>
      <c r="S4" s="4"/>
      <c r="T4" s="4"/>
      <c r="U4" s="4"/>
      <c r="V4" s="4"/>
    </row>
    <row r="5" spans="2:22" ht="12.75">
      <c r="B5" s="52">
        <f aca="true" t="shared" si="2" ref="B5:B33">B4+1.5</f>
        <v>3</v>
      </c>
      <c r="C5" s="8">
        <f t="shared" si="0"/>
        <v>17.3</v>
      </c>
      <c r="D5" s="32">
        <f aca="true" t="shared" si="3" ref="D5:D33">((($I$6/$N$3)^-$N$6-$N$4*$B5^-$N$6)/(1-$N$4))^-(1/$N$6)</f>
        <v>18.677742737713366</v>
      </c>
      <c r="E5" s="32">
        <f t="shared" si="1"/>
        <v>14.524860187360957</v>
      </c>
      <c r="F5" s="32"/>
      <c r="G5" s="8" t="s">
        <v>4</v>
      </c>
      <c r="H5" s="32">
        <f>UtilityMaximization!E5</f>
        <v>13.401705131547963</v>
      </c>
      <c r="I5" s="32">
        <v>9.933767519018991</v>
      </c>
      <c r="J5" s="4"/>
      <c r="K5" s="4"/>
      <c r="L5" s="83" t="s">
        <v>23</v>
      </c>
      <c r="M5" s="68"/>
      <c r="N5" s="18">
        <v>2.01</v>
      </c>
      <c r="O5" s="4"/>
      <c r="P5" s="4"/>
      <c r="Q5" s="4"/>
      <c r="R5" s="4"/>
      <c r="S5" s="4"/>
      <c r="T5" s="4"/>
      <c r="U5" s="4"/>
      <c r="V5" s="4"/>
    </row>
    <row r="6" spans="2:22" ht="13.5" thickBot="1">
      <c r="B6" s="52">
        <f t="shared" si="2"/>
        <v>4.5</v>
      </c>
      <c r="C6" s="8">
        <f t="shared" si="0"/>
        <v>15.95</v>
      </c>
      <c r="D6" s="32">
        <f t="shared" si="3"/>
        <v>16.510132792919283</v>
      </c>
      <c r="E6" s="32">
        <f t="shared" si="1"/>
        <v>13.774860187360957</v>
      </c>
      <c r="F6" s="32">
        <f aca="true" t="shared" si="4" ref="F6:F33">((($I$6/$N$3)^-$N$6-$N$4*$B6^-$N$6)/(1-$N$4))^-(1/$N$6)</f>
        <v>16.510132792919283</v>
      </c>
      <c r="G6" s="35" t="s">
        <v>5</v>
      </c>
      <c r="H6" s="32">
        <f>UtilityMaximization!E6</f>
        <v>107.56660500777483</v>
      </c>
      <c r="I6" s="33">
        <f>N3*(N4*I4^-N6+(1-N4)*I5^-N6)^-(1/N6)</f>
        <v>108.05769112880336</v>
      </c>
      <c r="J6" s="4"/>
      <c r="K6" s="7"/>
      <c r="L6" s="81" t="s">
        <v>24</v>
      </c>
      <c r="M6" s="82"/>
      <c r="N6" s="20">
        <f>(1-N5)/N5</f>
        <v>-0.5024875621890547</v>
      </c>
      <c r="O6" s="4"/>
      <c r="P6" s="4"/>
      <c r="Q6" s="4"/>
      <c r="R6" s="4"/>
      <c r="S6" s="4"/>
      <c r="T6" s="4"/>
      <c r="U6" s="4"/>
      <c r="V6" s="4"/>
    </row>
    <row r="7" spans="2:22" ht="12.75">
      <c r="B7" s="52">
        <f t="shared" si="2"/>
        <v>6</v>
      </c>
      <c r="C7" s="8">
        <f t="shared" si="0"/>
        <v>14.6</v>
      </c>
      <c r="D7" s="32">
        <f t="shared" si="3"/>
        <v>14.784666152248333</v>
      </c>
      <c r="E7" s="32">
        <f t="shared" si="1"/>
        <v>13.024860187360957</v>
      </c>
      <c r="F7" s="32">
        <f t="shared" si="4"/>
        <v>14.784666152248333</v>
      </c>
      <c r="G7" s="4"/>
      <c r="H7" s="4"/>
      <c r="I7" s="4"/>
      <c r="J7" s="4"/>
      <c r="K7" s="7"/>
      <c r="L7" s="85" t="s">
        <v>52</v>
      </c>
      <c r="M7" s="86"/>
      <c r="N7" s="4"/>
      <c r="O7" s="4"/>
      <c r="P7" s="4"/>
      <c r="Q7" s="4"/>
      <c r="R7" s="4"/>
      <c r="S7" s="4"/>
      <c r="T7" s="4"/>
      <c r="U7" s="4"/>
      <c r="V7" s="4"/>
    </row>
    <row r="8" spans="2:22" ht="12.75">
      <c r="B8" s="52">
        <f t="shared" si="2"/>
        <v>7.5</v>
      </c>
      <c r="C8" s="8">
        <f t="shared" si="0"/>
        <v>13.25</v>
      </c>
      <c r="D8" s="32">
        <f t="shared" si="3"/>
        <v>13.342128633201233</v>
      </c>
      <c r="E8" s="32">
        <f t="shared" si="1"/>
        <v>12.274860187360957</v>
      </c>
      <c r="F8" s="32">
        <f t="shared" si="4"/>
        <v>13.342128633201233</v>
      </c>
      <c r="G8" s="4"/>
      <c r="H8" s="4"/>
      <c r="I8" s="4"/>
      <c r="J8" s="4"/>
      <c r="K8" s="4"/>
      <c r="L8" s="4"/>
      <c r="M8" s="4"/>
      <c r="N8" s="4"/>
      <c r="O8" s="4"/>
      <c r="P8" s="4"/>
      <c r="Q8" s="4"/>
      <c r="R8" s="4"/>
      <c r="S8" s="4"/>
      <c r="T8" s="4"/>
      <c r="U8" s="4"/>
      <c r="V8" s="4"/>
    </row>
    <row r="9" spans="2:22" ht="12.75">
      <c r="B9" s="52">
        <f t="shared" si="2"/>
        <v>9</v>
      </c>
      <c r="C9" s="8">
        <f t="shared" si="0"/>
        <v>11.9</v>
      </c>
      <c r="D9" s="32">
        <f t="shared" si="3"/>
        <v>12.100784600983197</v>
      </c>
      <c r="E9" s="32">
        <f t="shared" si="1"/>
        <v>11.524860187360957</v>
      </c>
      <c r="F9" s="32">
        <f t="shared" si="4"/>
        <v>12.100784600983197</v>
      </c>
      <c r="G9" s="4"/>
      <c r="H9" s="4"/>
      <c r="I9" s="4"/>
      <c r="J9" s="4"/>
      <c r="K9" s="4"/>
      <c r="L9" s="4"/>
      <c r="M9" s="4"/>
      <c r="N9" s="4"/>
      <c r="O9" s="4"/>
      <c r="P9" s="4"/>
      <c r="Q9" s="4"/>
      <c r="R9" s="4"/>
      <c r="S9" s="4"/>
      <c r="T9" s="4"/>
      <c r="U9" s="4"/>
      <c r="V9" s="4"/>
    </row>
    <row r="10" spans="2:22" ht="12.75">
      <c r="B10" s="52">
        <f t="shared" si="2"/>
        <v>10.5</v>
      </c>
      <c r="C10" s="8">
        <f t="shared" si="0"/>
        <v>10.549999999999999</v>
      </c>
      <c r="D10" s="32">
        <f t="shared" si="3"/>
        <v>11.012040958970593</v>
      </c>
      <c r="E10" s="32">
        <f t="shared" si="1"/>
        <v>10.774860187360957</v>
      </c>
      <c r="F10" s="32">
        <f t="shared" si="4"/>
        <v>11.012040958970593</v>
      </c>
      <c r="G10" s="4"/>
      <c r="H10" s="4"/>
      <c r="I10" s="4"/>
      <c r="J10" s="4"/>
      <c r="K10" s="4"/>
      <c r="L10" s="4"/>
      <c r="M10" s="4"/>
      <c r="N10" s="4"/>
      <c r="O10" s="4"/>
      <c r="P10" s="4"/>
      <c r="Q10" s="4"/>
      <c r="R10" s="4"/>
      <c r="S10" s="4"/>
      <c r="T10" s="4"/>
      <c r="U10" s="4"/>
      <c r="V10" s="4"/>
    </row>
    <row r="11" spans="2:22" ht="12.75">
      <c r="B11" s="52">
        <f t="shared" si="2"/>
        <v>12</v>
      </c>
      <c r="C11" s="8">
        <f t="shared" si="0"/>
        <v>9.2</v>
      </c>
      <c r="D11" s="32">
        <f t="shared" si="3"/>
        <v>10.044215542629827</v>
      </c>
      <c r="E11" s="32">
        <f t="shared" si="1"/>
        <v>10.024860187360957</v>
      </c>
      <c r="F11" s="32">
        <f t="shared" si="4"/>
        <v>10.044215542629827</v>
      </c>
      <c r="G11" s="4"/>
      <c r="H11" s="4"/>
      <c r="I11" s="4"/>
      <c r="J11" s="4"/>
      <c r="K11" s="4"/>
      <c r="L11" s="4"/>
      <c r="M11" s="4"/>
      <c r="N11" s="4"/>
      <c r="O11" s="4"/>
      <c r="P11" s="4"/>
      <c r="Q11" s="4"/>
      <c r="R11" s="4"/>
      <c r="S11" s="4"/>
      <c r="T11" s="4"/>
      <c r="U11" s="4"/>
      <c r="V11" s="4"/>
    </row>
    <row r="12" spans="2:22" ht="12.75">
      <c r="B12" s="52">
        <f t="shared" si="2"/>
        <v>13.5</v>
      </c>
      <c r="C12" s="8">
        <f t="shared" si="0"/>
        <v>7.85</v>
      </c>
      <c r="D12" s="32">
        <f t="shared" si="3"/>
        <v>9.175289122328312</v>
      </c>
      <c r="E12" s="32">
        <f t="shared" si="1"/>
        <v>9.274860187360957</v>
      </c>
      <c r="F12" s="32">
        <f t="shared" si="4"/>
        <v>9.175289122328312</v>
      </c>
      <c r="G12" s="4"/>
      <c r="H12" s="4"/>
      <c r="I12" s="4"/>
      <c r="J12" s="4"/>
      <c r="K12" s="4"/>
      <c r="L12" s="4"/>
      <c r="M12" s="4"/>
      <c r="N12" s="4"/>
      <c r="O12" s="4"/>
      <c r="P12" s="4"/>
      <c r="Q12" s="4"/>
      <c r="R12" s="4"/>
      <c r="S12" s="4"/>
      <c r="T12" s="4"/>
      <c r="U12" s="4"/>
      <c r="V12" s="4"/>
    </row>
    <row r="13" spans="2:22" ht="12.75">
      <c r="B13" s="52">
        <f t="shared" si="2"/>
        <v>15</v>
      </c>
      <c r="C13" s="8">
        <f t="shared" si="0"/>
        <v>6.5</v>
      </c>
      <c r="D13" s="32">
        <f t="shared" si="3"/>
        <v>8.389221419964489</v>
      </c>
      <c r="E13" s="32">
        <f t="shared" si="1"/>
        <v>8.524860187360957</v>
      </c>
      <c r="F13" s="32">
        <f t="shared" si="4"/>
        <v>8.389221419964489</v>
      </c>
      <c r="G13" s="4"/>
      <c r="H13" s="4"/>
      <c r="I13" s="4"/>
      <c r="J13" s="4"/>
      <c r="K13" s="4"/>
      <c r="L13" s="4"/>
      <c r="M13" s="4"/>
      <c r="N13" s="4"/>
      <c r="O13" s="4"/>
      <c r="P13" s="4"/>
      <c r="Q13" s="4"/>
      <c r="R13" s="4"/>
      <c r="S13" s="4"/>
      <c r="T13" s="4"/>
      <c r="U13" s="4"/>
      <c r="V13" s="4"/>
    </row>
    <row r="14" spans="2:22" ht="12.75">
      <c r="B14" s="52">
        <f t="shared" si="2"/>
        <v>16.5</v>
      </c>
      <c r="C14" s="8">
        <f t="shared" si="0"/>
        <v>5.15</v>
      </c>
      <c r="D14" s="32">
        <f t="shared" si="3"/>
        <v>7.673897755255103</v>
      </c>
      <c r="E14" s="32">
        <f t="shared" si="1"/>
        <v>7.774860187360957</v>
      </c>
      <c r="F14" s="32">
        <f t="shared" si="4"/>
        <v>7.673897755255103</v>
      </c>
      <c r="G14" s="4"/>
      <c r="H14" s="4"/>
      <c r="I14" s="4"/>
      <c r="J14" s="4"/>
      <c r="K14" s="4"/>
      <c r="L14" s="4"/>
      <c r="M14" s="4"/>
      <c r="N14" s="4"/>
      <c r="O14" s="4"/>
      <c r="P14" s="4"/>
      <c r="Q14" s="4"/>
      <c r="R14" s="4"/>
      <c r="S14" s="4"/>
      <c r="T14" s="4"/>
      <c r="U14" s="4"/>
      <c r="V14" s="4"/>
    </row>
    <row r="15" spans="2:22" ht="12.75">
      <c r="B15" s="52">
        <f t="shared" si="2"/>
        <v>18</v>
      </c>
      <c r="C15" s="8">
        <f t="shared" si="0"/>
        <v>3.8000000000000007</v>
      </c>
      <c r="D15" s="32">
        <f t="shared" si="3"/>
        <v>7.0199023107450715</v>
      </c>
      <c r="E15" s="32">
        <f t="shared" si="1"/>
        <v>7.024860187360957</v>
      </c>
      <c r="F15" s="32">
        <f t="shared" si="4"/>
        <v>7.0199023107450715</v>
      </c>
      <c r="G15" s="4"/>
      <c r="H15" s="4"/>
      <c r="I15" s="4"/>
      <c r="J15" s="4"/>
      <c r="K15" s="4"/>
      <c r="L15" s="4"/>
      <c r="M15" s="4"/>
      <c r="N15" s="4"/>
      <c r="O15" s="4"/>
      <c r="P15" s="4"/>
      <c r="Q15" s="4"/>
      <c r="R15" s="4"/>
      <c r="S15" s="4"/>
      <c r="T15" s="4"/>
      <c r="U15" s="4"/>
      <c r="V15" s="4"/>
    </row>
    <row r="16" spans="2:22" ht="12.75">
      <c r="B16" s="52">
        <f t="shared" si="2"/>
        <v>19.5</v>
      </c>
      <c r="C16" s="8">
        <f t="shared" si="0"/>
        <v>2.4499999999999993</v>
      </c>
      <c r="D16" s="32">
        <f t="shared" si="3"/>
        <v>6.419744346338055</v>
      </c>
      <c r="E16" s="32">
        <f t="shared" si="1"/>
        <v>6.274860187360957</v>
      </c>
      <c r="F16" s="32">
        <f t="shared" si="4"/>
        <v>6.419744346338055</v>
      </c>
      <c r="G16" s="4"/>
      <c r="H16" s="4"/>
      <c r="I16" s="4"/>
      <c r="J16" s="4"/>
      <c r="K16" s="4"/>
      <c r="L16" s="4"/>
      <c r="M16" s="4"/>
      <c r="N16" s="4"/>
      <c r="O16" s="4"/>
      <c r="P16" s="4"/>
      <c r="Q16" s="4"/>
      <c r="R16" s="4"/>
      <c r="S16" s="4"/>
      <c r="T16" s="4"/>
      <c r="U16" s="4"/>
      <c r="V16" s="4"/>
    </row>
    <row r="17" spans="2:22" ht="12.75">
      <c r="B17" s="52">
        <f t="shared" si="2"/>
        <v>21</v>
      </c>
      <c r="C17" s="8">
        <f t="shared" si="0"/>
        <v>1.0999999999999979</v>
      </c>
      <c r="D17" s="32">
        <f t="shared" si="3"/>
        <v>5.867348301495095</v>
      </c>
      <c r="E17" s="32">
        <f t="shared" si="1"/>
        <v>5.524860187360957</v>
      </c>
      <c r="F17" s="32">
        <f t="shared" si="4"/>
        <v>5.867348301495095</v>
      </c>
      <c r="G17" s="4"/>
      <c r="H17" s="4"/>
      <c r="I17" s="4"/>
      <c r="J17" s="4"/>
      <c r="K17" s="4"/>
      <c r="L17" s="4"/>
      <c r="M17" s="4"/>
      <c r="N17" s="4"/>
      <c r="O17" s="4"/>
      <c r="P17" s="4"/>
      <c r="Q17" s="4"/>
      <c r="R17" s="4"/>
      <c r="S17" s="4"/>
      <c r="T17" s="4"/>
      <c r="U17" s="4"/>
      <c r="V17" s="4"/>
    </row>
    <row r="18" spans="2:22" ht="12.75">
      <c r="B18" s="52">
        <f t="shared" si="2"/>
        <v>22.5</v>
      </c>
      <c r="C18" s="8">
        <f t="shared" si="0"/>
        <v>-0.25</v>
      </c>
      <c r="D18" s="32">
        <f t="shared" si="3"/>
        <v>5.357705466251236</v>
      </c>
      <c r="E18" s="32">
        <f t="shared" si="1"/>
        <v>4.774860187360957</v>
      </c>
      <c r="F18" s="32">
        <f t="shared" si="4"/>
        <v>5.357705466251236</v>
      </c>
      <c r="G18" s="4"/>
      <c r="H18" s="4"/>
      <c r="I18" s="4"/>
      <c r="J18" s="4"/>
      <c r="K18" s="4"/>
      <c r="L18" s="4"/>
      <c r="M18" s="4"/>
      <c r="N18" s="4"/>
      <c r="O18" s="4"/>
      <c r="P18" s="4"/>
      <c r="Q18" s="4"/>
      <c r="R18" s="4"/>
      <c r="S18" s="4"/>
      <c r="T18" s="4"/>
      <c r="U18" s="4"/>
      <c r="V18" s="4"/>
    </row>
    <row r="19" spans="2:22" ht="12.75">
      <c r="B19" s="52">
        <f t="shared" si="2"/>
        <v>24</v>
      </c>
      <c r="C19" s="8">
        <f t="shared" si="0"/>
        <v>-1.6000000000000014</v>
      </c>
      <c r="D19" s="32">
        <f t="shared" si="3"/>
        <v>4.8866287270631945</v>
      </c>
      <c r="E19" s="32">
        <f t="shared" si="1"/>
        <v>4.024860187360957</v>
      </c>
      <c r="F19" s="32">
        <f t="shared" si="4"/>
        <v>4.8866287270631945</v>
      </c>
      <c r="G19" s="4"/>
      <c r="H19" s="4"/>
      <c r="I19" s="4"/>
      <c r="J19" s="4"/>
      <c r="K19" s="4"/>
      <c r="L19" s="4"/>
      <c r="M19" s="4"/>
      <c r="N19" s="4"/>
      <c r="O19" s="4"/>
      <c r="P19" s="4"/>
      <c r="Q19" s="4"/>
      <c r="R19" s="4"/>
      <c r="S19" s="4"/>
      <c r="T19" s="4"/>
      <c r="U19" s="4"/>
      <c r="V19" s="4"/>
    </row>
    <row r="20" spans="2:22" ht="12.75">
      <c r="B20" s="52">
        <f t="shared" si="2"/>
        <v>25.5</v>
      </c>
      <c r="C20" s="8">
        <f t="shared" si="0"/>
        <v>-2.9499999999999993</v>
      </c>
      <c r="D20" s="32">
        <f t="shared" si="3"/>
        <v>4.450575388115253</v>
      </c>
      <c r="E20" s="32">
        <f t="shared" si="1"/>
        <v>3.2748601873609573</v>
      </c>
      <c r="F20" s="32">
        <f t="shared" si="4"/>
        <v>4.450575388115253</v>
      </c>
      <c r="G20" s="4"/>
      <c r="H20" s="4"/>
      <c r="I20" s="4"/>
      <c r="J20" s="4"/>
      <c r="K20" s="4"/>
      <c r="L20" s="4"/>
      <c r="M20" s="4"/>
      <c r="N20" s="4"/>
      <c r="O20" s="4"/>
      <c r="P20" s="4"/>
      <c r="Q20" s="4"/>
      <c r="R20" s="4"/>
      <c r="S20" s="4"/>
      <c r="T20" s="4"/>
      <c r="U20" s="4"/>
      <c r="V20" s="4"/>
    </row>
    <row r="21" spans="2:22" ht="12.75">
      <c r="B21" s="52">
        <f t="shared" si="2"/>
        <v>27</v>
      </c>
      <c r="C21" s="8">
        <f t="shared" si="0"/>
        <v>-4.300000000000001</v>
      </c>
      <c r="D21" s="32">
        <f t="shared" si="3"/>
        <v>4.046516303611119</v>
      </c>
      <c r="E21" s="32">
        <f t="shared" si="1"/>
        <v>2.5248601873609573</v>
      </c>
      <c r="F21" s="32">
        <f t="shared" si="4"/>
        <v>4.046516303611119</v>
      </c>
      <c r="G21" s="4"/>
      <c r="H21" s="4"/>
      <c r="I21" s="4"/>
      <c r="J21" s="4"/>
      <c r="K21" s="4"/>
      <c r="L21" s="4"/>
      <c r="M21" s="4"/>
      <c r="N21" s="4"/>
      <c r="O21" s="4"/>
      <c r="P21" s="4"/>
      <c r="Q21" s="4"/>
      <c r="R21" s="4"/>
      <c r="S21" s="4"/>
      <c r="T21" s="4"/>
      <c r="U21" s="4"/>
      <c r="V21" s="4"/>
    </row>
    <row r="22" spans="2:22" ht="12.75">
      <c r="B22" s="52">
        <f t="shared" si="2"/>
        <v>28.5</v>
      </c>
      <c r="C22" s="8">
        <f t="shared" si="0"/>
        <v>-5.650000000000002</v>
      </c>
      <c r="D22" s="32">
        <f t="shared" si="3"/>
        <v>3.671837331960949</v>
      </c>
      <c r="E22" s="32">
        <f t="shared" si="1"/>
        <v>1.7748601873609573</v>
      </c>
      <c r="F22" s="32">
        <f t="shared" si="4"/>
        <v>3.671837331960949</v>
      </c>
      <c r="G22" s="4"/>
      <c r="H22" s="4"/>
      <c r="I22" s="4"/>
      <c r="J22" s="4"/>
      <c r="K22" s="4"/>
      <c r="L22" s="4"/>
      <c r="M22" s="4"/>
      <c r="N22" s="4"/>
      <c r="O22" s="4"/>
      <c r="P22" s="4"/>
      <c r="Q22" s="4"/>
      <c r="R22" s="4"/>
      <c r="S22" s="4"/>
      <c r="T22" s="4"/>
      <c r="U22" s="4"/>
      <c r="V22" s="4"/>
    </row>
    <row r="23" spans="2:22" ht="12.75">
      <c r="B23" s="52">
        <f t="shared" si="2"/>
        <v>30</v>
      </c>
      <c r="C23" s="8">
        <f t="shared" si="0"/>
        <v>-7</v>
      </c>
      <c r="D23" s="32">
        <f t="shared" si="3"/>
        <v>3.324263858854945</v>
      </c>
      <c r="E23" s="32">
        <f t="shared" si="1"/>
        <v>1.0248601873609573</v>
      </c>
      <c r="F23" s="32">
        <f t="shared" si="4"/>
        <v>3.324263858854945</v>
      </c>
      <c r="G23" s="4"/>
      <c r="H23" s="4"/>
      <c r="I23" s="4"/>
      <c r="J23" s="4"/>
      <c r="K23" s="4"/>
      <c r="L23" s="4"/>
      <c r="M23" s="4"/>
      <c r="N23" s="4"/>
      <c r="O23" s="4"/>
      <c r="P23" s="4"/>
      <c r="Q23" s="4"/>
      <c r="R23" s="4"/>
      <c r="S23" s="4"/>
      <c r="T23" s="4"/>
      <c r="U23" s="4"/>
      <c r="V23" s="4"/>
    </row>
    <row r="24" spans="2:22" ht="12.75">
      <c r="B24" s="52">
        <f t="shared" si="2"/>
        <v>31.5</v>
      </c>
      <c r="C24" s="8">
        <f t="shared" si="0"/>
        <v>-8.350000000000001</v>
      </c>
      <c r="D24" s="32">
        <f t="shared" si="3"/>
        <v>3.0018021131699992</v>
      </c>
      <c r="E24" s="32">
        <f t="shared" si="1"/>
        <v>0.2748601873609573</v>
      </c>
      <c r="F24" s="32">
        <f t="shared" si="4"/>
        <v>3.0018021131699992</v>
      </c>
      <c r="G24" s="4"/>
      <c r="H24" s="4"/>
      <c r="I24" s="4"/>
      <c r="J24" s="4"/>
      <c r="K24" s="4"/>
      <c r="L24" s="4"/>
      <c r="M24" s="4"/>
      <c r="N24" s="4"/>
      <c r="O24" s="4"/>
      <c r="P24" s="4"/>
      <c r="Q24" s="4"/>
      <c r="R24" s="4"/>
      <c r="S24" s="4"/>
      <c r="T24" s="4"/>
      <c r="U24" s="4"/>
      <c r="V24" s="4"/>
    </row>
    <row r="25" spans="2:22" ht="12.75">
      <c r="B25" s="52">
        <f t="shared" si="2"/>
        <v>33</v>
      </c>
      <c r="C25" s="8">
        <f t="shared" si="0"/>
        <v>-9.7</v>
      </c>
      <c r="D25" s="32">
        <f t="shared" si="3"/>
        <v>2.702692923283564</v>
      </c>
      <c r="E25" s="32">
        <f t="shared" si="1"/>
        <v>-0.4751398126390427</v>
      </c>
      <c r="F25" s="32">
        <f t="shared" si="4"/>
        <v>2.702692923283564</v>
      </c>
      <c r="G25" s="4"/>
      <c r="H25" s="4"/>
      <c r="I25" s="4"/>
      <c r="J25" s="4"/>
      <c r="K25" s="4"/>
      <c r="L25" s="4"/>
      <c r="M25" s="4"/>
      <c r="N25" s="4"/>
      <c r="O25" s="4"/>
      <c r="P25" s="4"/>
      <c r="Q25" s="4"/>
      <c r="R25" s="4"/>
      <c r="S25" s="4"/>
      <c r="T25" s="4"/>
      <c r="U25" s="4"/>
      <c r="V25" s="4"/>
    </row>
    <row r="26" spans="2:22" ht="12.75">
      <c r="B26" s="52">
        <f t="shared" si="2"/>
        <v>34.5</v>
      </c>
      <c r="C26" s="8">
        <f t="shared" si="0"/>
        <v>-11.05</v>
      </c>
      <c r="D26" s="32">
        <f t="shared" si="3"/>
        <v>2.4253748351539737</v>
      </c>
      <c r="E26" s="32">
        <f t="shared" si="1"/>
        <v>-1.2251398126390427</v>
      </c>
      <c r="F26" s="32">
        <f t="shared" si="4"/>
        <v>2.4253748351539737</v>
      </c>
      <c r="G26" s="4"/>
      <c r="H26" s="4"/>
      <c r="I26" s="4"/>
      <c r="J26" s="4"/>
      <c r="K26" s="4"/>
      <c r="L26" s="4"/>
      <c r="M26" s="4"/>
      <c r="N26" s="4"/>
      <c r="O26" s="4"/>
      <c r="P26" s="4"/>
      <c r="Q26" s="4"/>
      <c r="R26" s="4"/>
      <c r="S26" s="4"/>
      <c r="T26" s="4"/>
      <c r="U26" s="4"/>
      <c r="V26" s="4"/>
    </row>
    <row r="27" spans="2:22" ht="12.75">
      <c r="B27" s="52">
        <f t="shared" si="2"/>
        <v>36</v>
      </c>
      <c r="C27" s="8">
        <f t="shared" si="0"/>
        <v>-12.399999999999999</v>
      </c>
      <c r="D27" s="32">
        <f t="shared" si="3"/>
        <v>2.168454375621381</v>
      </c>
      <c r="E27" s="32">
        <f t="shared" si="1"/>
        <v>-1.9751398126390427</v>
      </c>
      <c r="F27" s="32">
        <f t="shared" si="4"/>
        <v>2.168454375621381</v>
      </c>
      <c r="G27" s="4"/>
      <c r="H27" s="73" t="s">
        <v>80</v>
      </c>
      <c r="I27" s="73"/>
      <c r="J27" s="73"/>
      <c r="K27" s="73"/>
      <c r="L27" s="73"/>
      <c r="M27" s="73"/>
      <c r="N27" s="73"/>
      <c r="O27" s="4"/>
      <c r="P27" s="4"/>
      <c r="Q27" s="4"/>
      <c r="R27" s="4"/>
      <c r="S27" s="4"/>
      <c r="T27" s="4"/>
      <c r="U27" s="4"/>
      <c r="V27" s="4"/>
    </row>
    <row r="28" spans="2:22" ht="12.75">
      <c r="B28" s="52">
        <f t="shared" si="2"/>
        <v>37.5</v>
      </c>
      <c r="C28" s="8">
        <f t="shared" si="0"/>
        <v>-13.75</v>
      </c>
      <c r="D28" s="32">
        <f t="shared" si="3"/>
        <v>1.9306818394071097</v>
      </c>
      <c r="E28" s="32">
        <f t="shared" si="1"/>
        <v>-2.7251398126390427</v>
      </c>
      <c r="F28" s="32">
        <f t="shared" si="4"/>
        <v>1.9306818394071097</v>
      </c>
      <c r="G28" s="4"/>
      <c r="H28" s="4"/>
      <c r="I28" s="4"/>
      <c r="J28" s="4"/>
      <c r="K28" s="4"/>
      <c r="L28" s="4"/>
      <c r="M28" s="4"/>
      <c r="N28" s="4"/>
      <c r="O28" s="4"/>
      <c r="P28" s="4"/>
      <c r="Q28" s="4"/>
      <c r="R28" s="4"/>
      <c r="S28" s="4"/>
      <c r="T28" s="4"/>
      <c r="U28" s="4"/>
      <c r="V28" s="4"/>
    </row>
    <row r="29" spans="2:22" ht="12.75">
      <c r="B29" s="52">
        <f t="shared" si="2"/>
        <v>39</v>
      </c>
      <c r="C29" s="8">
        <f t="shared" si="0"/>
        <v>-15.100000000000001</v>
      </c>
      <c r="D29" s="32">
        <f t="shared" si="3"/>
        <v>1.7109313963272514</v>
      </c>
      <c r="E29" s="32">
        <f t="shared" si="1"/>
        <v>-3.4751398126390427</v>
      </c>
      <c r="F29" s="32">
        <f t="shared" si="4"/>
        <v>1.7109313963272514</v>
      </c>
      <c r="G29" s="4"/>
      <c r="H29" s="4"/>
      <c r="I29" s="4"/>
      <c r="J29" s="4"/>
      <c r="K29" s="4"/>
      <c r="L29" s="4"/>
      <c r="M29" s="4"/>
      <c r="N29" s="4"/>
      <c r="O29" s="4"/>
      <c r="P29" s="4"/>
      <c r="Q29" s="4"/>
      <c r="R29" s="4"/>
      <c r="S29" s="4"/>
      <c r="T29" s="4"/>
      <c r="U29" s="4"/>
      <c r="V29" s="4"/>
    </row>
    <row r="30" spans="2:22" ht="12.75">
      <c r="B30" s="52">
        <f t="shared" si="2"/>
        <v>40.5</v>
      </c>
      <c r="C30" s="8">
        <f t="shared" si="0"/>
        <v>-16.450000000000003</v>
      </c>
      <c r="D30" s="32">
        <f t="shared" si="3"/>
        <v>1.508184613707194</v>
      </c>
      <c r="E30" s="32">
        <f t="shared" si="1"/>
        <v>-4.225139812639043</v>
      </c>
      <c r="F30" s="32">
        <f t="shared" si="4"/>
        <v>1.508184613707194</v>
      </c>
      <c r="G30" s="4"/>
      <c r="H30" s="4"/>
      <c r="I30" s="4"/>
      <c r="J30" s="4"/>
      <c r="K30" s="4"/>
      <c r="L30" s="4"/>
      <c r="M30" s="4"/>
      <c r="N30" s="4"/>
      <c r="O30" s="4"/>
      <c r="P30" s="4"/>
      <c r="Q30" s="4"/>
      <c r="R30" s="4"/>
      <c r="S30" s="4"/>
      <c r="T30" s="4"/>
      <c r="U30" s="4"/>
      <c r="V30" s="4"/>
    </row>
    <row r="31" spans="2:22" ht="12.75">
      <c r="B31" s="52">
        <f t="shared" si="2"/>
        <v>42</v>
      </c>
      <c r="C31" s="8">
        <f t="shared" si="0"/>
        <v>-17.800000000000004</v>
      </c>
      <c r="D31" s="32">
        <f t="shared" si="3"/>
        <v>1.3215167052561738</v>
      </c>
      <c r="E31" s="32">
        <f t="shared" si="1"/>
        <v>-4.975139812639043</v>
      </c>
      <c r="F31" s="32">
        <f t="shared" si="4"/>
        <v>1.3215167052561738</v>
      </c>
      <c r="G31" s="4"/>
      <c r="H31" s="4"/>
      <c r="I31" s="4"/>
      <c r="J31" s="4"/>
      <c r="K31" s="4"/>
      <c r="L31" s="4"/>
      <c r="M31" s="4"/>
      <c r="N31" s="4"/>
      <c r="O31" s="4"/>
      <c r="P31" s="4"/>
      <c r="Q31" s="4"/>
      <c r="R31" s="4"/>
      <c r="S31" s="4"/>
      <c r="T31" s="4"/>
      <c r="U31" s="4"/>
      <c r="V31" s="4"/>
    </row>
    <row r="32" spans="2:22" ht="12.75">
      <c r="B32" s="52">
        <f t="shared" si="2"/>
        <v>43.5</v>
      </c>
      <c r="C32" s="8">
        <f t="shared" si="0"/>
        <v>-19.15</v>
      </c>
      <c r="D32" s="32">
        <f t="shared" si="3"/>
        <v>1.150084976521541</v>
      </c>
      <c r="E32" s="32">
        <f t="shared" si="1"/>
        <v>-5.725139812639043</v>
      </c>
      <c r="F32" s="32">
        <f t="shared" si="4"/>
        <v>1.150084976521541</v>
      </c>
      <c r="G32" s="4"/>
      <c r="H32" s="4"/>
      <c r="I32" s="4"/>
      <c r="J32" s="4"/>
      <c r="K32" s="4"/>
      <c r="L32" s="4"/>
      <c r="M32" s="4"/>
      <c r="N32" s="4"/>
      <c r="O32" s="4"/>
      <c r="P32" s="4"/>
      <c r="Q32" s="4"/>
      <c r="R32" s="4"/>
      <c r="S32" s="4"/>
      <c r="T32" s="4"/>
      <c r="U32" s="4"/>
      <c r="V32" s="4"/>
    </row>
    <row r="33" spans="2:22" ht="12.75">
      <c r="B33" s="52">
        <f t="shared" si="2"/>
        <v>45</v>
      </c>
      <c r="C33" s="8">
        <f t="shared" si="0"/>
        <v>-20.5</v>
      </c>
      <c r="D33" s="32">
        <f t="shared" si="3"/>
        <v>0.9931190552256135</v>
      </c>
      <c r="E33" s="32">
        <f t="shared" si="1"/>
        <v>-6.475139812639043</v>
      </c>
      <c r="F33" s="32">
        <f t="shared" si="4"/>
        <v>0.9931190552256135</v>
      </c>
      <c r="G33" s="4"/>
      <c r="H33" s="4"/>
      <c r="I33" s="4"/>
      <c r="J33" s="4"/>
      <c r="K33" s="4"/>
      <c r="L33" s="4"/>
      <c r="M33" s="4"/>
      <c r="N33" s="4"/>
      <c r="O33" s="4"/>
      <c r="P33" s="4"/>
      <c r="Q33" s="4"/>
      <c r="R33" s="4"/>
      <c r="S33" s="4"/>
      <c r="T33" s="4"/>
      <c r="U33" s="4"/>
      <c r="V33" s="4"/>
    </row>
    <row r="34" spans="2:22" ht="12.75">
      <c r="B34" s="4"/>
      <c r="C34" s="4"/>
      <c r="D34" s="4"/>
      <c r="E34" s="4"/>
      <c r="F34" s="4"/>
      <c r="G34" s="4"/>
      <c r="H34" s="4"/>
      <c r="I34" s="4"/>
      <c r="J34" s="4"/>
      <c r="K34" s="4"/>
      <c r="L34" s="4"/>
      <c r="M34" s="4"/>
      <c r="N34" s="4"/>
      <c r="O34" s="4"/>
      <c r="P34" s="4"/>
      <c r="Q34" s="4"/>
      <c r="R34" s="4"/>
      <c r="S34" s="4"/>
      <c r="T34" s="4"/>
      <c r="U34" s="4"/>
      <c r="V34" s="4"/>
    </row>
    <row r="35" spans="2:22" ht="12.75">
      <c r="B35" s="4"/>
      <c r="C35" s="4"/>
      <c r="D35" s="4"/>
      <c r="E35" s="4"/>
      <c r="F35" s="4"/>
      <c r="G35" s="4"/>
      <c r="H35" s="4"/>
      <c r="I35" s="4"/>
      <c r="J35" s="4"/>
      <c r="K35" s="4"/>
      <c r="L35" s="4"/>
      <c r="M35" s="4"/>
      <c r="N35" s="4"/>
      <c r="O35" s="4"/>
      <c r="P35" s="4"/>
      <c r="Q35" s="4"/>
      <c r="R35" s="4"/>
      <c r="S35" s="4"/>
      <c r="T35" s="4"/>
      <c r="U35" s="4"/>
      <c r="V35" s="4"/>
    </row>
    <row r="36" spans="2:22" ht="12.75">
      <c r="B36" s="4"/>
      <c r="C36" s="4"/>
      <c r="D36" s="4"/>
      <c r="E36" s="4"/>
      <c r="F36" s="4"/>
      <c r="G36" s="4"/>
      <c r="H36" s="4"/>
      <c r="I36" s="4"/>
      <c r="J36" s="4"/>
      <c r="K36" s="4"/>
      <c r="L36" s="4"/>
      <c r="M36" s="4"/>
      <c r="N36" s="4"/>
      <c r="O36" s="4"/>
      <c r="P36" s="4"/>
      <c r="Q36" s="4"/>
      <c r="R36" s="4"/>
      <c r="S36" s="4"/>
      <c r="T36" s="4"/>
      <c r="U36" s="4"/>
      <c r="V36" s="4"/>
    </row>
    <row r="37" spans="2:22" ht="12.75">
      <c r="B37" s="4"/>
      <c r="C37" s="4"/>
      <c r="D37" s="4"/>
      <c r="E37" s="4"/>
      <c r="F37" s="4"/>
      <c r="G37" s="4"/>
      <c r="H37" s="4"/>
      <c r="I37" s="4"/>
      <c r="J37" s="4"/>
      <c r="K37" s="4"/>
      <c r="L37" s="4"/>
      <c r="M37" s="4"/>
      <c r="N37" s="4"/>
      <c r="O37" s="4"/>
      <c r="P37" s="4"/>
      <c r="Q37" s="4"/>
      <c r="R37" s="4"/>
      <c r="S37" s="4"/>
      <c r="T37" s="4"/>
      <c r="U37" s="4"/>
      <c r="V37" s="4"/>
    </row>
    <row r="38" spans="2:22" ht="12.75">
      <c r="B38" s="4"/>
      <c r="C38" s="4"/>
      <c r="D38" s="4"/>
      <c r="E38" s="4"/>
      <c r="F38" s="4"/>
      <c r="G38" s="4"/>
      <c r="H38" s="4"/>
      <c r="I38" s="4"/>
      <c r="J38" s="4"/>
      <c r="K38" s="4"/>
      <c r="L38" s="4"/>
      <c r="M38" s="4"/>
      <c r="N38" s="4"/>
      <c r="O38" s="4"/>
      <c r="P38" s="4"/>
      <c r="Q38" s="4"/>
      <c r="R38" s="4"/>
      <c r="S38" s="4"/>
      <c r="T38" s="4"/>
      <c r="U38" s="4"/>
      <c r="V38" s="4"/>
    </row>
    <row r="39" spans="2:22" ht="12.75">
      <c r="B39" s="4"/>
      <c r="C39" s="4"/>
      <c r="D39" s="4"/>
      <c r="E39" s="4"/>
      <c r="F39" s="4"/>
      <c r="G39" s="4"/>
      <c r="H39" s="4"/>
      <c r="I39" s="4"/>
      <c r="J39" s="4"/>
      <c r="K39" s="4"/>
      <c r="L39" s="4"/>
      <c r="M39" s="4"/>
      <c r="N39" s="4"/>
      <c r="O39" s="4"/>
      <c r="P39" s="4"/>
      <c r="Q39" s="4"/>
      <c r="R39" s="4"/>
      <c r="S39" s="4"/>
      <c r="T39" s="4"/>
      <c r="U39" s="4"/>
      <c r="V39" s="4"/>
    </row>
    <row r="40" spans="2:22" ht="12.75">
      <c r="B40" s="4"/>
      <c r="C40" s="4"/>
      <c r="D40" s="4"/>
      <c r="E40" s="4"/>
      <c r="F40" s="4"/>
      <c r="G40" s="4"/>
      <c r="H40" s="4"/>
      <c r="I40" s="4"/>
      <c r="J40" s="4"/>
      <c r="K40" s="4"/>
      <c r="L40" s="4"/>
      <c r="M40" s="4"/>
      <c r="N40" s="4"/>
      <c r="O40" s="4"/>
      <c r="P40" s="4"/>
      <c r="Q40" s="4"/>
      <c r="R40" s="4"/>
      <c r="S40" s="4"/>
      <c r="T40" s="4"/>
      <c r="U40" s="4"/>
      <c r="V40" s="4"/>
    </row>
    <row r="41" spans="2:22" ht="12.75">
      <c r="B41" s="4"/>
      <c r="C41" s="4"/>
      <c r="D41" s="4"/>
      <c r="E41" s="4"/>
      <c r="F41" s="4"/>
      <c r="G41" s="4"/>
      <c r="H41" s="4"/>
      <c r="I41" s="4"/>
      <c r="J41" s="4"/>
      <c r="K41" s="4"/>
      <c r="L41" s="4"/>
      <c r="M41" s="4"/>
      <c r="N41" s="4"/>
      <c r="O41" s="4"/>
      <c r="P41" s="4"/>
      <c r="Q41" s="4"/>
      <c r="R41" s="4"/>
      <c r="S41" s="4"/>
      <c r="T41" s="4"/>
      <c r="U41" s="4"/>
      <c r="V41" s="4"/>
    </row>
    <row r="42" spans="2:22" ht="12.75">
      <c r="B42" s="4"/>
      <c r="C42" s="4"/>
      <c r="D42" s="4"/>
      <c r="E42" s="4"/>
      <c r="F42" s="4"/>
      <c r="G42" s="4"/>
      <c r="H42" s="4"/>
      <c r="I42" s="4"/>
      <c r="J42" s="4"/>
      <c r="K42" s="4"/>
      <c r="L42" s="4"/>
      <c r="M42" s="4"/>
      <c r="N42" s="4"/>
      <c r="O42" s="4"/>
      <c r="P42" s="4"/>
      <c r="Q42" s="4"/>
      <c r="R42" s="4"/>
      <c r="S42" s="4"/>
      <c r="T42" s="4"/>
      <c r="U42" s="4"/>
      <c r="V42" s="4"/>
    </row>
    <row r="43" spans="2:22" ht="12.75">
      <c r="B43" s="4"/>
      <c r="C43" s="4"/>
      <c r="D43" s="4"/>
      <c r="E43" s="4"/>
      <c r="F43" s="4"/>
      <c r="G43" s="4"/>
      <c r="H43" s="4"/>
      <c r="I43" s="4"/>
      <c r="J43" s="4"/>
      <c r="K43" s="4"/>
      <c r="L43" s="4"/>
      <c r="M43" s="4"/>
      <c r="N43" s="4"/>
      <c r="O43" s="4"/>
      <c r="P43" s="4"/>
      <c r="Q43" s="4"/>
      <c r="R43" s="4"/>
      <c r="S43" s="4"/>
      <c r="T43" s="4"/>
      <c r="U43" s="4"/>
      <c r="V43" s="4"/>
    </row>
    <row r="44" spans="2:22" ht="12.75">
      <c r="B44" s="4"/>
      <c r="C44" s="4"/>
      <c r="D44" s="4"/>
      <c r="E44" s="4"/>
      <c r="F44" s="4"/>
      <c r="G44" s="4"/>
      <c r="H44" s="4"/>
      <c r="I44" s="4"/>
      <c r="J44" s="4"/>
      <c r="K44" s="4"/>
      <c r="L44" s="4"/>
      <c r="M44" s="4"/>
      <c r="N44" s="4"/>
      <c r="O44" s="4"/>
      <c r="P44" s="4"/>
      <c r="Q44" s="4"/>
      <c r="R44" s="4"/>
      <c r="S44" s="4"/>
      <c r="T44" s="4"/>
      <c r="U44" s="4"/>
      <c r="V44" s="4"/>
    </row>
    <row r="45" spans="2:22" ht="12.75">
      <c r="B45" s="4"/>
      <c r="C45" s="4"/>
      <c r="D45" s="4"/>
      <c r="E45" s="4"/>
      <c r="F45" s="4"/>
      <c r="G45" s="4"/>
      <c r="H45" s="4"/>
      <c r="I45" s="4"/>
      <c r="J45" s="4"/>
      <c r="K45" s="4"/>
      <c r="L45" s="4"/>
      <c r="M45" s="4"/>
      <c r="N45" s="4"/>
      <c r="O45" s="4"/>
      <c r="P45" s="4"/>
      <c r="Q45" s="4"/>
      <c r="R45" s="4"/>
      <c r="S45" s="4"/>
      <c r="T45" s="4"/>
      <c r="U45" s="4"/>
      <c r="V45" s="4"/>
    </row>
    <row r="46" spans="2:22" ht="12.75">
      <c r="B46" s="4"/>
      <c r="C46" s="4"/>
      <c r="D46" s="4"/>
      <c r="E46" s="4"/>
      <c r="F46" s="4"/>
      <c r="G46" s="4"/>
      <c r="H46" s="4"/>
      <c r="I46" s="4"/>
      <c r="J46" s="4"/>
      <c r="K46" s="4"/>
      <c r="L46" s="4"/>
      <c r="M46" s="4"/>
      <c r="N46" s="4"/>
      <c r="O46" s="4"/>
      <c r="P46" s="4"/>
      <c r="Q46" s="4"/>
      <c r="R46" s="4"/>
      <c r="S46" s="4"/>
      <c r="T46" s="4"/>
      <c r="U46" s="4"/>
      <c r="V46" s="4"/>
    </row>
    <row r="47" spans="2:22" ht="12.75">
      <c r="B47" s="4"/>
      <c r="C47" s="4"/>
      <c r="D47" s="4"/>
      <c r="E47" s="4"/>
      <c r="F47" s="4"/>
      <c r="G47" s="4"/>
      <c r="H47" s="4"/>
      <c r="I47" s="4"/>
      <c r="J47" s="4"/>
      <c r="K47" s="4"/>
      <c r="L47" s="4"/>
      <c r="M47" s="4"/>
      <c r="N47" s="4"/>
      <c r="O47" s="4"/>
      <c r="P47" s="4"/>
      <c r="Q47" s="4"/>
      <c r="R47" s="4"/>
      <c r="S47" s="4"/>
      <c r="T47" s="4"/>
      <c r="U47" s="4"/>
      <c r="V47" s="4"/>
    </row>
    <row r="48" spans="2:22" ht="12.75">
      <c r="B48" s="4"/>
      <c r="C48" s="4"/>
      <c r="D48" s="4"/>
      <c r="E48" s="4"/>
      <c r="F48" s="4"/>
      <c r="G48" s="4"/>
      <c r="H48" s="4"/>
      <c r="I48" s="4"/>
      <c r="J48" s="4"/>
      <c r="K48" s="4"/>
      <c r="L48" s="4"/>
      <c r="M48" s="4"/>
      <c r="N48" s="4"/>
      <c r="O48" s="4"/>
      <c r="P48" s="4"/>
      <c r="Q48" s="4"/>
      <c r="R48" s="4"/>
      <c r="S48" s="4"/>
      <c r="T48" s="4"/>
      <c r="U48" s="4"/>
      <c r="V48" s="4"/>
    </row>
    <row r="49" spans="2:22" ht="12.75">
      <c r="B49" s="4"/>
      <c r="C49" s="4"/>
      <c r="D49" s="4"/>
      <c r="E49" s="4"/>
      <c r="F49" s="4"/>
      <c r="G49" s="4"/>
      <c r="H49" s="4"/>
      <c r="I49" s="4"/>
      <c r="J49" s="4"/>
      <c r="K49" s="4"/>
      <c r="L49" s="4"/>
      <c r="M49" s="4"/>
      <c r="N49" s="4"/>
      <c r="O49" s="4"/>
      <c r="P49" s="4"/>
      <c r="Q49" s="4"/>
      <c r="R49" s="4"/>
      <c r="S49" s="4"/>
      <c r="T49" s="4"/>
      <c r="U49" s="4"/>
      <c r="V49" s="4"/>
    </row>
    <row r="50" spans="2:22" ht="12.75">
      <c r="B50" s="4"/>
      <c r="C50" s="4"/>
      <c r="D50" s="4"/>
      <c r="E50" s="4"/>
      <c r="F50" s="4"/>
      <c r="G50" s="4"/>
      <c r="H50" s="4"/>
      <c r="I50" s="4"/>
      <c r="J50" s="4"/>
      <c r="K50" s="4"/>
      <c r="L50" s="4"/>
      <c r="M50" s="4"/>
      <c r="N50" s="4"/>
      <c r="O50" s="4"/>
      <c r="P50" s="4"/>
      <c r="Q50" s="4"/>
      <c r="R50" s="4"/>
      <c r="S50" s="4"/>
      <c r="T50" s="4"/>
      <c r="U50" s="4"/>
      <c r="V50" s="4"/>
    </row>
    <row r="51" spans="2:22" ht="12.75">
      <c r="B51" s="4"/>
      <c r="C51" s="4"/>
      <c r="D51" s="4"/>
      <c r="E51" s="4"/>
      <c r="F51" s="4"/>
      <c r="G51" s="4"/>
      <c r="H51" s="4"/>
      <c r="I51" s="4"/>
      <c r="J51" s="4"/>
      <c r="K51" s="4"/>
      <c r="L51" s="4"/>
      <c r="M51" s="4"/>
      <c r="N51" s="4"/>
      <c r="O51" s="4"/>
      <c r="P51" s="4"/>
      <c r="Q51" s="4"/>
      <c r="R51" s="4"/>
      <c r="S51" s="4"/>
      <c r="T51" s="4"/>
      <c r="U51" s="4"/>
      <c r="V51" s="4"/>
    </row>
    <row r="52" spans="2:22" ht="12.75">
      <c r="B52" s="4"/>
      <c r="C52" s="4"/>
      <c r="D52" s="4"/>
      <c r="E52" s="4"/>
      <c r="F52" s="4"/>
      <c r="G52" s="4"/>
      <c r="H52" s="4"/>
      <c r="I52" s="4"/>
      <c r="J52" s="4"/>
      <c r="K52" s="4"/>
      <c r="L52" s="4"/>
      <c r="M52" s="4"/>
      <c r="N52" s="4"/>
      <c r="O52" s="4"/>
      <c r="P52" s="4"/>
      <c r="Q52" s="4"/>
      <c r="R52" s="4"/>
      <c r="S52" s="4"/>
      <c r="T52" s="4"/>
      <c r="U52" s="4"/>
      <c r="V52" s="4"/>
    </row>
    <row r="53" spans="2:22" ht="12.75">
      <c r="B53" s="4"/>
      <c r="C53" s="4"/>
      <c r="D53" s="4"/>
      <c r="E53" s="4"/>
      <c r="F53" s="4"/>
      <c r="G53" s="4"/>
      <c r="H53" s="4"/>
      <c r="I53" s="4"/>
      <c r="J53" s="4"/>
      <c r="K53" s="4"/>
      <c r="L53" s="4"/>
      <c r="M53" s="4"/>
      <c r="N53" s="4"/>
      <c r="O53" s="4"/>
      <c r="P53" s="4"/>
      <c r="Q53" s="4"/>
      <c r="R53" s="4"/>
      <c r="S53" s="4"/>
      <c r="T53" s="4"/>
      <c r="U53" s="4"/>
      <c r="V53" s="4"/>
    </row>
    <row r="54" spans="2:22" ht="12.75">
      <c r="B54" s="4"/>
      <c r="C54" s="4"/>
      <c r="D54" s="4"/>
      <c r="E54" s="4"/>
      <c r="F54" s="4"/>
      <c r="G54" s="4"/>
      <c r="H54" s="4"/>
      <c r="I54" s="4"/>
      <c r="J54" s="4"/>
      <c r="K54" s="4"/>
      <c r="L54" s="4"/>
      <c r="M54" s="4"/>
      <c r="N54" s="4"/>
      <c r="O54" s="4"/>
      <c r="P54" s="4"/>
      <c r="Q54" s="4"/>
      <c r="R54" s="4"/>
      <c r="S54" s="4"/>
      <c r="T54" s="4"/>
      <c r="U54" s="4"/>
      <c r="V54" s="4"/>
    </row>
    <row r="55" spans="2:22" ht="12.75">
      <c r="B55" s="4"/>
      <c r="C55" s="4"/>
      <c r="D55" s="4"/>
      <c r="E55" s="4"/>
      <c r="F55" s="4"/>
      <c r="G55" s="4"/>
      <c r="H55" s="4"/>
      <c r="I55" s="4"/>
      <c r="J55" s="4"/>
      <c r="K55" s="4"/>
      <c r="L55" s="4"/>
      <c r="M55" s="4"/>
      <c r="N55" s="4"/>
      <c r="O55" s="4"/>
      <c r="P55" s="4"/>
      <c r="Q55" s="4"/>
      <c r="R55" s="4"/>
      <c r="S55" s="4"/>
      <c r="T55" s="4"/>
      <c r="U55" s="4"/>
      <c r="V55" s="4"/>
    </row>
    <row r="56" spans="2:22" ht="12.75">
      <c r="B56" s="4"/>
      <c r="C56" s="4"/>
      <c r="D56" s="4"/>
      <c r="E56" s="4"/>
      <c r="F56" s="4"/>
      <c r="G56" s="4"/>
      <c r="H56" s="4"/>
      <c r="I56" s="4"/>
      <c r="J56" s="4"/>
      <c r="K56" s="4"/>
      <c r="L56" s="4"/>
      <c r="M56" s="4"/>
      <c r="N56" s="4"/>
      <c r="O56" s="4"/>
      <c r="P56" s="4"/>
      <c r="Q56" s="4"/>
      <c r="R56" s="4"/>
      <c r="S56" s="4"/>
      <c r="T56" s="4"/>
      <c r="U56" s="4"/>
      <c r="V56" s="4"/>
    </row>
    <row r="57" spans="2:22" ht="12.75">
      <c r="B57" s="4"/>
      <c r="C57" s="4"/>
      <c r="D57" s="4"/>
      <c r="E57" s="4"/>
      <c r="F57" s="4"/>
      <c r="G57" s="4"/>
      <c r="H57" s="4"/>
      <c r="I57" s="4"/>
      <c r="J57" s="4"/>
      <c r="K57" s="4"/>
      <c r="L57" s="4"/>
      <c r="M57" s="4"/>
      <c r="N57" s="4"/>
      <c r="O57" s="4"/>
      <c r="P57" s="4"/>
      <c r="Q57" s="4"/>
      <c r="R57" s="4"/>
      <c r="S57" s="4"/>
      <c r="T57" s="4"/>
      <c r="U57" s="4"/>
      <c r="V57" s="4"/>
    </row>
    <row r="58" spans="2:22" ht="12.75">
      <c r="B58" s="4"/>
      <c r="C58" s="4"/>
      <c r="D58" s="4"/>
      <c r="E58" s="4"/>
      <c r="F58" s="4"/>
      <c r="G58" s="4"/>
      <c r="H58" s="4"/>
      <c r="I58" s="4"/>
      <c r="J58" s="4"/>
      <c r="K58" s="4"/>
      <c r="L58" s="4"/>
      <c r="M58" s="4"/>
      <c r="N58" s="4"/>
      <c r="O58" s="4"/>
      <c r="P58" s="4"/>
      <c r="Q58" s="4"/>
      <c r="R58" s="4"/>
      <c r="S58" s="4"/>
      <c r="T58" s="4"/>
      <c r="U58" s="4"/>
      <c r="V58" s="4"/>
    </row>
    <row r="59" spans="2:22" ht="12.75">
      <c r="B59" s="4"/>
      <c r="C59" s="4"/>
      <c r="D59" s="4"/>
      <c r="E59" s="4"/>
      <c r="F59" s="4"/>
      <c r="G59" s="4"/>
      <c r="H59" s="4"/>
      <c r="I59" s="4"/>
      <c r="J59" s="4"/>
      <c r="K59" s="4"/>
      <c r="L59" s="4"/>
      <c r="M59" s="4"/>
      <c r="N59" s="4"/>
      <c r="O59" s="4"/>
      <c r="P59" s="4"/>
      <c r="Q59" s="4"/>
      <c r="R59" s="4"/>
      <c r="S59" s="4"/>
      <c r="T59" s="4"/>
      <c r="U59" s="4"/>
      <c r="V59" s="4"/>
    </row>
    <row r="60" spans="2:22" ht="12.75">
      <c r="B60" s="4"/>
      <c r="C60" s="4"/>
      <c r="D60" s="4"/>
      <c r="E60" s="4"/>
      <c r="F60" s="4"/>
      <c r="G60" s="4"/>
      <c r="H60" s="4"/>
      <c r="I60" s="4"/>
      <c r="J60" s="4"/>
      <c r="K60" s="4"/>
      <c r="L60" s="4"/>
      <c r="M60" s="4"/>
      <c r="N60" s="4"/>
      <c r="O60" s="4"/>
      <c r="P60" s="4"/>
      <c r="Q60" s="4"/>
      <c r="R60" s="4"/>
      <c r="S60" s="4"/>
      <c r="T60" s="4"/>
      <c r="U60" s="4"/>
      <c r="V60" s="4"/>
    </row>
    <row r="61" spans="2:22" ht="12.75">
      <c r="B61" s="4"/>
      <c r="C61" s="4"/>
      <c r="D61" s="4"/>
      <c r="E61" s="4"/>
      <c r="F61" s="4"/>
      <c r="G61" s="4"/>
      <c r="H61" s="4"/>
      <c r="I61" s="4"/>
      <c r="J61" s="4"/>
      <c r="K61" s="4"/>
      <c r="L61" s="4"/>
      <c r="M61" s="4"/>
      <c r="N61" s="4"/>
      <c r="O61" s="4"/>
      <c r="P61" s="4"/>
      <c r="Q61" s="4"/>
      <c r="R61" s="4"/>
      <c r="S61" s="4"/>
      <c r="T61" s="4"/>
      <c r="U61" s="4"/>
      <c r="V61" s="4"/>
    </row>
    <row r="62" spans="2:22" ht="12.75">
      <c r="B62" s="4"/>
      <c r="C62" s="4"/>
      <c r="D62" s="4"/>
      <c r="E62" s="4"/>
      <c r="F62" s="4"/>
      <c r="G62" s="4"/>
      <c r="H62" s="4"/>
      <c r="I62" s="4"/>
      <c r="J62" s="4"/>
      <c r="K62" s="4"/>
      <c r="L62" s="4"/>
      <c r="M62" s="4"/>
      <c r="N62" s="4"/>
      <c r="O62" s="4"/>
      <c r="P62" s="4"/>
      <c r="Q62" s="4"/>
      <c r="R62" s="4"/>
      <c r="S62" s="4"/>
      <c r="T62" s="4"/>
      <c r="U62" s="4"/>
      <c r="V62" s="4"/>
    </row>
    <row r="63" spans="7:22" ht="12.75">
      <c r="G63" s="4"/>
      <c r="H63" s="4"/>
      <c r="I63" s="4"/>
      <c r="J63" s="4"/>
      <c r="K63" s="4"/>
      <c r="L63" s="4"/>
      <c r="M63" s="4"/>
      <c r="N63" s="4"/>
      <c r="O63" s="4"/>
      <c r="P63" s="4"/>
      <c r="Q63" s="4"/>
      <c r="R63" s="4"/>
      <c r="S63" s="4"/>
      <c r="T63" s="4"/>
      <c r="U63" s="4"/>
      <c r="V63" s="4"/>
    </row>
    <row r="64" spans="7:22" ht="12.75">
      <c r="G64" s="4"/>
      <c r="H64" s="4"/>
      <c r="I64" s="4"/>
      <c r="J64" s="4"/>
      <c r="K64" s="4"/>
      <c r="L64" s="4"/>
      <c r="M64" s="4"/>
      <c r="N64" s="4"/>
      <c r="O64" s="4"/>
      <c r="P64" s="4"/>
      <c r="Q64" s="4"/>
      <c r="R64" s="4"/>
      <c r="S64" s="4"/>
      <c r="T64" s="4"/>
      <c r="U64" s="4"/>
      <c r="V64" s="4"/>
    </row>
    <row r="65" spans="7:22" ht="12.75">
      <c r="G65" s="4"/>
      <c r="H65" s="4"/>
      <c r="I65" s="4"/>
      <c r="J65" s="4"/>
      <c r="K65" s="4"/>
      <c r="L65" s="4"/>
      <c r="M65" s="4"/>
      <c r="N65" s="4"/>
      <c r="O65" s="4"/>
      <c r="P65" s="4"/>
      <c r="Q65" s="4"/>
      <c r="R65" s="4"/>
      <c r="S65" s="4"/>
      <c r="T65" s="4"/>
      <c r="U65" s="4"/>
      <c r="V65" s="4"/>
    </row>
    <row r="66" spans="7:22" ht="12.75">
      <c r="G66" s="4"/>
      <c r="H66" s="4"/>
      <c r="I66" s="4"/>
      <c r="J66" s="4"/>
      <c r="K66" s="4"/>
      <c r="L66" s="4"/>
      <c r="M66" s="4"/>
      <c r="N66" s="4"/>
      <c r="O66" s="4"/>
      <c r="P66" s="4"/>
      <c r="Q66" s="4"/>
      <c r="R66" s="4"/>
      <c r="S66" s="4"/>
      <c r="T66" s="4"/>
      <c r="U66" s="4"/>
      <c r="V66" s="4"/>
    </row>
    <row r="67" spans="7:22" ht="12.75">
      <c r="G67" s="4"/>
      <c r="H67" s="4"/>
      <c r="I67" s="4"/>
      <c r="J67" s="4"/>
      <c r="K67" s="4"/>
      <c r="L67" s="4"/>
      <c r="M67" s="4"/>
      <c r="N67" s="4"/>
      <c r="O67" s="4"/>
      <c r="P67" s="4"/>
      <c r="Q67" s="4"/>
      <c r="R67" s="4"/>
      <c r="S67" s="4"/>
      <c r="T67" s="4"/>
      <c r="U67" s="4"/>
      <c r="V67" s="4"/>
    </row>
  </sheetData>
  <mergeCells count="7">
    <mergeCell ref="H27:N27"/>
    <mergeCell ref="L6:M6"/>
    <mergeCell ref="L7:M7"/>
    <mergeCell ref="L2:N2"/>
    <mergeCell ref="L3:M3"/>
    <mergeCell ref="L4:M4"/>
    <mergeCell ref="L5:M5"/>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Mixon</dc:creator>
  <cp:keywords/>
  <dc:description/>
  <cp:lastModifiedBy>Berry College</cp:lastModifiedBy>
  <dcterms:created xsi:type="dcterms:W3CDTF">2000-07-05T15:22:58Z</dcterms:created>
  <dcterms:modified xsi:type="dcterms:W3CDTF">2003-05-13T13:36:12Z</dcterms:modified>
  <cp:category/>
  <cp:version/>
  <cp:contentType/>
  <cp:contentStatus/>
</cp:coreProperties>
</file>