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11280" windowHeight="6570" activeTab="0"/>
  </bookViews>
  <sheets>
    <sheet name="Definitions" sheetId="1" r:id="rId1"/>
    <sheet name="LR Total Price Maker" sheetId="2" r:id="rId2"/>
    <sheet name="LR Per Unit Price Maker" sheetId="3" r:id="rId3"/>
    <sheet name="SR Per Unit Price Maker" sheetId="4" r:id="rId4"/>
    <sheet name="LR Total Price Taker" sheetId="5" r:id="rId5"/>
    <sheet name="LR Per Unit Price Taker" sheetId="6" r:id="rId6"/>
    <sheet name="SR Per Unit Price Taker" sheetId="7" r:id="rId7"/>
    <sheet name="Basic" sheetId="8" r:id="rId8"/>
  </sheets>
  <definedNames>
    <definedName name="_xlnm.Print_Area" localSheetId="0">'Definitions'!$A$1:$O$30</definedName>
    <definedName name="_xlnm.Print_Area" localSheetId="2">'LR Per Unit Price Maker'!$A$1:$N$23</definedName>
    <definedName name="_xlnm.Print_Area" localSheetId="5">'LR Per Unit Price Taker'!$A$1:$M$24</definedName>
    <definedName name="_xlnm.Print_Area" localSheetId="1">'LR Total Price Maker'!$A$1:$M$25</definedName>
    <definedName name="_xlnm.Print_Area" localSheetId="4">'LR Total Price Taker'!$A$1:$N$25</definedName>
    <definedName name="_xlnm.Print_Area" localSheetId="3">'SR Per Unit Price Maker'!$A$1:$N$24</definedName>
    <definedName name="_xlnm.Print_Area" localSheetId="6">'SR Per Unit Price Taker'!$A$1:$M$25</definedName>
  </definedNames>
  <calcPr fullCalcOnLoad="1"/>
</workbook>
</file>

<file path=xl/sharedStrings.xml><?xml version="1.0" encoding="utf-8"?>
<sst xmlns="http://schemas.openxmlformats.org/spreadsheetml/2006/main" count="261" uniqueCount="90">
  <si>
    <t>All sheets copied from this one. Delete this one when finished.</t>
  </si>
  <si>
    <t>Qo =</t>
  </si>
  <si>
    <t>(Q at which LAC is minimized)</t>
  </si>
  <si>
    <t>use scroll bar for this</t>
  </si>
  <si>
    <t>Q</t>
  </si>
  <si>
    <t>LTC</t>
  </si>
  <si>
    <t>STC</t>
  </si>
  <si>
    <t>LMC</t>
  </si>
  <si>
    <t>SMC</t>
  </si>
  <si>
    <t>SAC</t>
  </si>
  <si>
    <t>LAC</t>
  </si>
  <si>
    <t>Co =</t>
  </si>
  <si>
    <t>(Minimum value of LAC)</t>
  </si>
  <si>
    <t>a =</t>
  </si>
  <si>
    <t>(Coefficients</t>
  </si>
  <si>
    <t>b =</t>
  </si>
  <si>
    <t xml:space="preserve">   of LTC)</t>
  </si>
  <si>
    <t>(Q at which SAC = LAC)</t>
  </si>
  <si>
    <t>(LAC @ Q1)</t>
  </si>
  <si>
    <t>LMC1 =</t>
  </si>
  <si>
    <t>(LMC @ Q1)</t>
  </si>
  <si>
    <t xml:space="preserve">m = </t>
  </si>
  <si>
    <t>n =</t>
  </si>
  <si>
    <t xml:space="preserve">   of STC)</t>
  </si>
  <si>
    <t xml:space="preserve">Increment Q by </t>
  </si>
  <si>
    <t>yielding maximum Q =</t>
  </si>
  <si>
    <t>LMC*</t>
  </si>
  <si>
    <t>Notes: Table above contains a few points from the larger table  that begins in Column AA.</t>
  </si>
  <si>
    <t xml:space="preserve">             LMC* and SMC* are point marginal costs; LMC and SMC are arc marginal costs.</t>
  </si>
  <si>
    <t>Quantity</t>
  </si>
  <si>
    <t>TR</t>
  </si>
  <si>
    <t>Profit</t>
  </si>
  <si>
    <t>Q(maxprofit)</t>
  </si>
  <si>
    <t>Quantity at which TR - TC is maximized:</t>
  </si>
  <si>
    <t xml:space="preserve"> =X = Q^.5</t>
  </si>
  <si>
    <t>LMC* and SMC* are point marginal costs; LMC and SMC are arc marginal costs.</t>
  </si>
  <si>
    <t>MaxProfit?</t>
  </si>
  <si>
    <t>ForC29</t>
  </si>
  <si>
    <t>Demand</t>
  </si>
  <si>
    <t>LAC*</t>
  </si>
  <si>
    <t>M R</t>
  </si>
  <si>
    <t>P*</t>
  </si>
  <si>
    <t>Price =</t>
  </si>
  <si>
    <t>MR</t>
  </si>
  <si>
    <t>LAC @ that Q</t>
  </si>
  <si>
    <t>Profit =</t>
  </si>
  <si>
    <t>Price @ that Q =</t>
  </si>
  <si>
    <t>Price</t>
  </si>
  <si>
    <t>LR Profit</t>
  </si>
  <si>
    <t>MaxLRprofit?</t>
  </si>
  <si>
    <t>ForC30</t>
  </si>
  <si>
    <t>SAC*</t>
  </si>
  <si>
    <t>P &amp; Q_LR</t>
  </si>
  <si>
    <t>P &amp; Q_SR</t>
  </si>
  <si>
    <t>Coefficients of short-run total cost curve</t>
  </si>
  <si>
    <t>LAC @ that Q =</t>
  </si>
  <si>
    <t>SAC @ that Q =</t>
  </si>
  <si>
    <t>Profit in LR =</t>
  </si>
  <si>
    <t>Profit in SR =</t>
  </si>
  <si>
    <t>Price in LR =</t>
  </si>
  <si>
    <t>Price in SR =</t>
  </si>
  <si>
    <t>SMC*</t>
  </si>
  <si>
    <r>
      <t>Q</t>
    </r>
    <r>
      <rPr>
        <vertAlign val="subscript"/>
        <sz val="10"/>
        <rFont val="Times New Roman"/>
        <family val="1"/>
      </rPr>
      <t>1</t>
    </r>
    <r>
      <rPr>
        <sz val="10"/>
        <rFont val="Times New Roman"/>
        <family val="1"/>
      </rPr>
      <t xml:space="preserve"> =</t>
    </r>
  </si>
  <si>
    <r>
      <t>C</t>
    </r>
    <r>
      <rPr>
        <vertAlign val="subscript"/>
        <sz val="10"/>
        <rFont val="Times New Roman"/>
        <family val="1"/>
      </rPr>
      <t>1</t>
    </r>
    <r>
      <rPr>
        <sz val="10"/>
        <rFont val="Times New Roman"/>
        <family val="1"/>
      </rPr>
      <t xml:space="preserve"> =</t>
    </r>
  </si>
  <si>
    <t>(Coefficients of STC)</t>
  </si>
  <si>
    <t>(Coefficients of LTC)</t>
  </si>
  <si>
    <t>P_intercept =</t>
  </si>
  <si>
    <r>
      <t>Q</t>
    </r>
    <r>
      <rPr>
        <b/>
        <vertAlign val="subscript"/>
        <sz val="10"/>
        <rFont val="Arial"/>
        <family val="2"/>
      </rPr>
      <t>0</t>
    </r>
    <r>
      <rPr>
        <b/>
        <sz val="10"/>
        <rFont val="Arial"/>
        <family val="2"/>
      </rPr>
      <t xml:space="preserve"> =</t>
    </r>
  </si>
  <si>
    <r>
      <t>C</t>
    </r>
    <r>
      <rPr>
        <b/>
        <vertAlign val="subscript"/>
        <sz val="10"/>
        <rFont val="Arial"/>
        <family val="2"/>
      </rPr>
      <t>0</t>
    </r>
    <r>
      <rPr>
        <b/>
        <sz val="10"/>
        <rFont val="Arial"/>
        <family val="2"/>
      </rPr>
      <t xml:space="preserve"> =</t>
    </r>
  </si>
  <si>
    <t>Price Intercept =</t>
  </si>
  <si>
    <r>
      <t>Q</t>
    </r>
    <r>
      <rPr>
        <b/>
        <vertAlign val="subscript"/>
        <sz val="10"/>
        <rFont val="Arial"/>
        <family val="2"/>
      </rPr>
      <t>1</t>
    </r>
    <r>
      <rPr>
        <b/>
        <sz val="10"/>
        <rFont val="Arial"/>
        <family val="2"/>
      </rPr>
      <t xml:space="preserve"> =</t>
    </r>
  </si>
  <si>
    <t>Maximum Profit =</t>
  </si>
  <si>
    <t xml:space="preserve">Price = </t>
  </si>
  <si>
    <t>Profit-maximizing* Q =</t>
  </si>
  <si>
    <t>*Or loss-minimzing</t>
  </si>
  <si>
    <t>*Or loss-mimizing</t>
  </si>
  <si>
    <r>
      <t>Per-unit Cost at Q</t>
    </r>
    <r>
      <rPr>
        <vertAlign val="subscript"/>
        <sz val="10"/>
        <rFont val="Arial"/>
        <family val="2"/>
      </rPr>
      <t>1</t>
    </r>
    <r>
      <rPr>
        <sz val="10"/>
        <rFont val="Arial"/>
        <family val="2"/>
      </rPr>
      <t>: C</t>
    </r>
    <r>
      <rPr>
        <vertAlign val="subscript"/>
        <sz val="10"/>
        <rFont val="Arial"/>
        <family val="2"/>
      </rPr>
      <t>1</t>
    </r>
    <r>
      <rPr>
        <sz val="10"/>
        <rFont val="Arial"/>
        <family val="2"/>
      </rPr>
      <t xml:space="preserve"> =</t>
    </r>
  </si>
  <si>
    <r>
      <t>Per-unit cost at Q</t>
    </r>
    <r>
      <rPr>
        <vertAlign val="subscript"/>
        <sz val="10"/>
        <rFont val="Arial"/>
        <family val="2"/>
      </rPr>
      <t>1:</t>
    </r>
    <r>
      <rPr>
        <sz val="10"/>
        <rFont val="Arial"/>
        <family val="2"/>
      </rPr>
      <t xml:space="preserve"> C</t>
    </r>
    <r>
      <rPr>
        <vertAlign val="subscript"/>
        <sz val="10"/>
        <rFont val="Arial"/>
        <family val="2"/>
      </rPr>
      <t>1</t>
    </r>
    <r>
      <rPr>
        <sz val="10"/>
        <rFont val="Arial"/>
        <family val="2"/>
      </rPr>
      <t xml:space="preserve"> =</t>
    </r>
  </si>
  <si>
    <t>*Or loss minimizing</t>
  </si>
  <si>
    <t>SR profit-maximizing* Q =</t>
  </si>
  <si>
    <t>LR profit-maximizing* Q =</t>
  </si>
  <si>
    <t>SR profit-maximzing* Q =</t>
  </si>
  <si>
    <t>LR profit-maximzing* Q =</t>
  </si>
  <si>
    <t>This table contains data from a larger table. "View Table."</t>
  </si>
  <si>
    <t>Short-run Per-unit Cost and Revenue, Price Maker</t>
  </si>
  <si>
    <t>Long-run Total Cost and Revenue, Price Maker</t>
  </si>
  <si>
    <t>Long-run Per-unit Cost and Revenue, Price Maker</t>
  </si>
  <si>
    <t>Long-run Total Cost and Revenue, Price Taker</t>
  </si>
  <si>
    <t>Short-run Per-unit Cost and Revenue, Price Taker</t>
  </si>
  <si>
    <t>Long-run Per-unit Cost and Revenue, Price Taker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</si>
</sst>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00"/>
    <numFmt numFmtId="167" formatCode="&quot;$&quot;#,##0"/>
    <numFmt numFmtId="168" formatCode="0.000"/>
  </numFmts>
  <fonts count="27">
    <font>
      <sz val="11"/>
      <name val="Times New Roman"/>
      <family val="0"/>
    </font>
    <font>
      <u val="single"/>
      <sz val="10"/>
      <color indexed="36"/>
      <name val="Arial"/>
      <family val="0"/>
    </font>
    <font>
      <u val="single"/>
      <sz val="10"/>
      <color indexed="12"/>
      <name val="Arial"/>
      <family val="0"/>
    </font>
    <font>
      <sz val="10"/>
      <name val="Arial"/>
      <family val="0"/>
    </font>
    <font>
      <sz val="10"/>
      <name val="Times New Roman"/>
      <family val="0"/>
    </font>
    <font>
      <b/>
      <sz val="11"/>
      <name val="Times New Roman"/>
      <family val="1"/>
    </font>
    <font>
      <b/>
      <sz val="10"/>
      <name val="Times New Roman"/>
      <family val="1"/>
    </font>
    <font>
      <vertAlign val="subscript"/>
      <sz val="10"/>
      <name val="Times New Roman"/>
      <family val="1"/>
    </font>
    <font>
      <sz val="9"/>
      <name val="Times New Roman"/>
      <family val="1"/>
    </font>
    <font>
      <b/>
      <sz val="10"/>
      <color indexed="12"/>
      <name val="Arial"/>
      <family val="2"/>
    </font>
    <font>
      <b/>
      <sz val="10"/>
      <color indexed="10"/>
      <name val="Arial"/>
      <family val="2"/>
    </font>
    <font>
      <b/>
      <sz val="10"/>
      <name val="Arial"/>
      <family val="2"/>
    </font>
    <font>
      <b/>
      <sz val="12"/>
      <name val="Times New Roman"/>
      <family val="1"/>
    </font>
    <font>
      <sz val="11"/>
      <name val="Arial"/>
      <family val="2"/>
    </font>
    <font>
      <sz val="9"/>
      <name val="Arial"/>
      <family val="2"/>
    </font>
    <font>
      <b/>
      <vertAlign val="subscript"/>
      <sz val="10"/>
      <name val="Arial"/>
      <family val="2"/>
    </font>
    <font>
      <b/>
      <sz val="11"/>
      <color indexed="12"/>
      <name val="Times New Roman"/>
      <family val="1"/>
    </font>
    <font>
      <b/>
      <sz val="11"/>
      <color indexed="8"/>
      <name val="Times New Roman"/>
      <family val="1"/>
    </font>
    <font>
      <vertAlign val="subscript"/>
      <sz val="10"/>
      <name val="Arial"/>
      <family val="2"/>
    </font>
    <font>
      <b/>
      <vertAlign val="superscript"/>
      <sz val="12"/>
      <name val="Times New Roman"/>
      <family val="1"/>
    </font>
    <font>
      <b/>
      <sz val="12"/>
      <color indexed="12"/>
      <name val="Times New Roman"/>
      <family val="1"/>
    </font>
    <font>
      <b/>
      <sz val="13"/>
      <name val="Times New Roman"/>
      <family val="1"/>
    </font>
    <font>
      <b/>
      <sz val="13"/>
      <color indexed="8"/>
      <name val="Times New Roman"/>
      <family val="1"/>
    </font>
    <font>
      <b/>
      <vertAlign val="subscript"/>
      <sz val="12"/>
      <color indexed="12"/>
      <name val="Times New Roman"/>
      <family val="1"/>
    </font>
    <font>
      <b/>
      <sz val="14"/>
      <color indexed="12"/>
      <name val="Times New Roman"/>
      <family val="1"/>
    </font>
    <font>
      <b/>
      <vertAlign val="subscript"/>
      <sz val="11"/>
      <name val="Times New Roman"/>
      <family val="1"/>
    </font>
    <font>
      <b/>
      <sz val="12"/>
      <name val="Arial"/>
      <family val="2"/>
    </font>
  </fonts>
  <fills count="9">
    <fill>
      <patternFill/>
    </fill>
    <fill>
      <patternFill patternType="gray125"/>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4"/>
        <bgColor indexed="64"/>
      </patternFill>
    </fill>
    <fill>
      <patternFill patternType="solid">
        <fgColor indexed="34"/>
        <bgColor indexed="64"/>
      </patternFill>
    </fill>
  </fills>
  <borders count="12">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86">
    <xf numFmtId="0" fontId="0" fillId="0" borderId="0" xfId="0"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0" fontId="4" fillId="2" borderId="0" xfId="0" applyFont="1" applyFill="1" applyAlignment="1">
      <alignmen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0" fillId="2" borderId="0" xfId="0" applyFill="1" applyAlignment="1">
      <alignment/>
    </xf>
    <xf numFmtId="0" fontId="11" fillId="3" borderId="4" xfId="0" applyFont="1" applyFill="1" applyBorder="1" applyAlignment="1">
      <alignment horizontal="center"/>
    </xf>
    <xf numFmtId="164" fontId="11" fillId="3" borderId="4" xfId="0" applyNumberFormat="1" applyFont="1" applyFill="1" applyBorder="1" applyAlignment="1">
      <alignment horizontal="center"/>
    </xf>
    <xf numFmtId="0" fontId="11" fillId="4" borderId="4" xfId="0" applyFont="1" applyFill="1" applyBorder="1" applyAlignment="1">
      <alignment horizontal="center"/>
    </xf>
    <xf numFmtId="0" fontId="3" fillId="4" borderId="0" xfId="0" applyFont="1" applyFill="1" applyAlignment="1">
      <alignment horizontal="center"/>
    </xf>
    <xf numFmtId="0" fontId="3" fillId="4" borderId="0" xfId="0" applyFont="1" applyFill="1" applyAlignment="1">
      <alignment/>
    </xf>
    <xf numFmtId="0" fontId="4" fillId="4" borderId="0" xfId="0" applyFont="1" applyFill="1" applyAlignment="1">
      <alignment/>
    </xf>
    <xf numFmtId="0" fontId="3" fillId="4" borderId="5"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164" fontId="3" fillId="4" borderId="4" xfId="0" applyNumberFormat="1" applyFont="1" applyFill="1" applyBorder="1" applyAlignment="1">
      <alignment horizontal="center"/>
    </xf>
    <xf numFmtId="0" fontId="4" fillId="4" borderId="0" xfId="0" applyFont="1" applyFill="1" applyAlignment="1">
      <alignment horizontal="center"/>
    </xf>
    <xf numFmtId="0" fontId="0" fillId="4" borderId="0" xfId="0" applyFill="1" applyAlignment="1">
      <alignment/>
    </xf>
    <xf numFmtId="0" fontId="3" fillId="5" borderId="0" xfId="0" applyFont="1" applyFill="1" applyAlignment="1">
      <alignment horizontal="center"/>
    </xf>
    <xf numFmtId="0" fontId="3" fillId="5" borderId="0" xfId="0" applyFont="1" applyFill="1" applyAlignment="1">
      <alignment/>
    </xf>
    <xf numFmtId="0" fontId="4" fillId="5" borderId="0" xfId="0" applyFont="1" applyFill="1" applyAlignment="1">
      <alignment/>
    </xf>
    <xf numFmtId="0" fontId="3" fillId="5" borderId="6" xfId="0" applyFont="1" applyFill="1" applyBorder="1" applyAlignment="1">
      <alignment horizontal="center"/>
    </xf>
    <xf numFmtId="0" fontId="3" fillId="5" borderId="5" xfId="0" applyFont="1" applyFill="1" applyBorder="1" applyAlignment="1">
      <alignment horizontal="center"/>
    </xf>
    <xf numFmtId="0" fontId="3" fillId="5" borderId="1" xfId="0" applyFont="1" applyFill="1" applyBorder="1" applyAlignment="1">
      <alignment horizontal="center"/>
    </xf>
    <xf numFmtId="0" fontId="3" fillId="5" borderId="4" xfId="0" applyFont="1" applyFill="1" applyBorder="1" applyAlignment="1">
      <alignment horizontal="center"/>
    </xf>
    <xf numFmtId="164" fontId="3" fillId="5" borderId="4" xfId="0" applyNumberFormat="1" applyFont="1" applyFill="1" applyBorder="1" applyAlignment="1">
      <alignment horizontal="center"/>
    </xf>
    <xf numFmtId="164" fontId="3" fillId="5" borderId="3" xfId="0" applyNumberFormat="1" applyFont="1" applyFill="1" applyBorder="1" applyAlignment="1">
      <alignment horizontal="center"/>
    </xf>
    <xf numFmtId="0" fontId="0" fillId="5" borderId="0" xfId="0" applyFill="1" applyAlignment="1">
      <alignment/>
    </xf>
    <xf numFmtId="0" fontId="13" fillId="5" borderId="0" xfId="0" applyFont="1" applyFill="1" applyAlignment="1">
      <alignment/>
    </xf>
    <xf numFmtId="164" fontId="3" fillId="4" borderId="2" xfId="0" applyNumberFormat="1" applyFont="1" applyFill="1" applyBorder="1" applyAlignment="1">
      <alignment horizontal="center"/>
    </xf>
    <xf numFmtId="0" fontId="0" fillId="6" borderId="0" xfId="0" applyFill="1" applyAlignment="1">
      <alignment/>
    </xf>
    <xf numFmtId="0" fontId="4" fillId="6" borderId="0" xfId="0" applyFont="1" applyFill="1" applyAlignment="1">
      <alignment/>
    </xf>
    <xf numFmtId="0" fontId="3" fillId="6" borderId="0" xfId="0" applyFont="1" applyFill="1" applyAlignment="1">
      <alignment/>
    </xf>
    <xf numFmtId="0" fontId="3" fillId="6" borderId="0" xfId="0" applyFont="1" applyFill="1" applyAlignment="1">
      <alignment/>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164" fontId="3" fillId="6" borderId="4" xfId="0" applyNumberFormat="1" applyFont="1" applyFill="1" applyBorder="1" applyAlignment="1">
      <alignment horizontal="center"/>
    </xf>
    <xf numFmtId="0" fontId="3" fillId="6" borderId="0" xfId="0" applyFont="1" applyFill="1" applyAlignment="1">
      <alignment horizontal="center"/>
    </xf>
    <xf numFmtId="0" fontId="3" fillId="6" borderId="4" xfId="0" applyFont="1" applyFill="1" applyBorder="1" applyAlignment="1">
      <alignment horizontal="center"/>
    </xf>
    <xf numFmtId="164" fontId="4" fillId="6" borderId="0" xfId="0" applyNumberFormat="1" applyFont="1" applyFill="1" applyAlignment="1">
      <alignment/>
    </xf>
    <xf numFmtId="0" fontId="3" fillId="7" borderId="4" xfId="0" applyFont="1" applyFill="1" applyBorder="1" applyAlignment="1">
      <alignment horizontal="center"/>
    </xf>
    <xf numFmtId="164" fontId="3" fillId="7" borderId="4" xfId="0" applyNumberFormat="1" applyFont="1" applyFill="1" applyBorder="1" applyAlignment="1">
      <alignment horizontal="center"/>
    </xf>
    <xf numFmtId="164" fontId="3" fillId="6" borderId="2" xfId="0" applyNumberFormat="1" applyFont="1" applyFill="1" applyBorder="1" applyAlignment="1">
      <alignment horizontal="center"/>
    </xf>
    <xf numFmtId="0" fontId="3" fillId="6" borderId="0" xfId="0" applyFont="1" applyFill="1" applyAlignment="1">
      <alignment horizontal="left"/>
    </xf>
    <xf numFmtId="0" fontId="4" fillId="6" borderId="0" xfId="0" applyFont="1" applyFill="1" applyAlignment="1">
      <alignment horizontal="center"/>
    </xf>
    <xf numFmtId="0" fontId="13" fillId="6" borderId="2" xfId="0" applyFont="1" applyFill="1" applyBorder="1" applyAlignment="1">
      <alignment horizontal="center"/>
    </xf>
    <xf numFmtId="0" fontId="13" fillId="6" borderId="1" xfId="0" applyFont="1" applyFill="1" applyBorder="1" applyAlignment="1">
      <alignment horizontal="center"/>
    </xf>
    <xf numFmtId="0" fontId="13" fillId="6" borderId="3" xfId="0" applyFont="1" applyFill="1" applyBorder="1" applyAlignment="1">
      <alignment horizontal="center"/>
    </xf>
    <xf numFmtId="0" fontId="3" fillId="7" borderId="4" xfId="0" applyFont="1" applyFill="1" applyBorder="1" applyAlignment="1">
      <alignment horizontal="right"/>
    </xf>
    <xf numFmtId="164" fontId="3" fillId="7" borderId="4" xfId="0" applyNumberFormat="1" applyFont="1" applyFill="1" applyBorder="1" applyAlignment="1">
      <alignment horizontal="right"/>
    </xf>
    <xf numFmtId="0" fontId="11" fillId="8" borderId="4" xfId="0" applyFont="1" applyFill="1" applyBorder="1" applyAlignment="1">
      <alignment horizontal="center"/>
    </xf>
    <xf numFmtId="0" fontId="14" fillId="6" borderId="0" xfId="0" applyFont="1" applyFill="1" applyBorder="1" applyAlignment="1">
      <alignment horizontal="center"/>
    </xf>
    <xf numFmtId="164" fontId="3" fillId="7" borderId="7" xfId="0" applyNumberFormat="1" applyFont="1" applyFill="1" applyBorder="1" applyAlignment="1">
      <alignment horizontal="center"/>
    </xf>
    <xf numFmtId="164" fontId="3" fillId="7" borderId="2" xfId="0" applyNumberFormat="1" applyFont="1" applyFill="1" applyBorder="1" applyAlignment="1">
      <alignment horizontal="right"/>
    </xf>
    <xf numFmtId="0" fontId="11" fillId="3" borderId="4" xfId="0" applyFont="1" applyFill="1" applyBorder="1" applyAlignment="1">
      <alignment horizontal="right"/>
    </xf>
    <xf numFmtId="164" fontId="11" fillId="3" borderId="4" xfId="0" applyNumberFormat="1" applyFont="1" applyFill="1" applyBorder="1" applyAlignment="1">
      <alignment horizontal="right"/>
    </xf>
    <xf numFmtId="0" fontId="11" fillId="3" borderId="4" xfId="0" applyNumberFormat="1" applyFont="1" applyFill="1" applyBorder="1" applyAlignment="1">
      <alignment horizontal="right"/>
    </xf>
    <xf numFmtId="0" fontId="11" fillId="8" borderId="4" xfId="0" applyFont="1" applyFill="1" applyBorder="1" applyAlignment="1">
      <alignment horizontal="right"/>
    </xf>
    <xf numFmtId="164" fontId="11" fillId="8" borderId="4" xfId="0" applyNumberFormat="1" applyFont="1" applyFill="1" applyBorder="1" applyAlignment="1">
      <alignment horizontal="right"/>
    </xf>
    <xf numFmtId="0" fontId="11" fillId="6" borderId="6" xfId="0" applyFont="1" applyFill="1" applyBorder="1" applyAlignment="1">
      <alignment horizontal="center"/>
    </xf>
    <xf numFmtId="0" fontId="11" fillId="6" borderId="8" xfId="0" applyFont="1" applyFill="1" applyBorder="1" applyAlignment="1">
      <alignment horizontal="center"/>
    </xf>
    <xf numFmtId="0" fontId="11" fillId="6" borderId="5" xfId="0" applyFont="1" applyFill="1" applyBorder="1" applyAlignment="1">
      <alignment horizontal="center"/>
    </xf>
    <xf numFmtId="0" fontId="11" fillId="4" borderId="6" xfId="0" applyFont="1" applyFill="1" applyBorder="1" applyAlignment="1">
      <alignment horizontal="center"/>
    </xf>
    <xf numFmtId="0" fontId="11" fillId="4" borderId="8" xfId="0" applyFont="1" applyFill="1" applyBorder="1" applyAlignment="1">
      <alignment horizontal="center"/>
    </xf>
    <xf numFmtId="0" fontId="11" fillId="4" borderId="5" xfId="0" applyFont="1" applyFill="1" applyBorder="1" applyAlignment="1">
      <alignment horizontal="center"/>
    </xf>
    <xf numFmtId="0" fontId="11" fillId="6" borderId="4" xfId="0" applyFont="1" applyFill="1" applyBorder="1" applyAlignment="1">
      <alignment horizontal="center"/>
    </xf>
    <xf numFmtId="0" fontId="11" fillId="7" borderId="4" xfId="0" applyFont="1" applyFill="1" applyBorder="1" applyAlignment="1">
      <alignment horizontal="center"/>
    </xf>
    <xf numFmtId="0" fontId="3" fillId="7" borderId="4" xfId="0" applyFont="1" applyFill="1" applyBorder="1" applyAlignment="1">
      <alignment horizontal="center"/>
    </xf>
    <xf numFmtId="0" fontId="11" fillId="3" borderId="4" xfId="0" applyFont="1" applyFill="1" applyBorder="1" applyAlignment="1">
      <alignment horizontal="center"/>
    </xf>
    <xf numFmtId="0" fontId="3" fillId="7" borderId="9" xfId="0" applyFont="1" applyFill="1" applyBorder="1" applyAlignment="1">
      <alignment horizontal="center"/>
    </xf>
    <xf numFmtId="0" fontId="3" fillId="7" borderId="10"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center"/>
    </xf>
    <xf numFmtId="0" fontId="3" fillId="7" borderId="5" xfId="0" applyFont="1" applyFill="1" applyBorder="1" applyAlignment="1">
      <alignment horizontal="center"/>
    </xf>
    <xf numFmtId="0" fontId="3" fillId="7" borderId="6" xfId="0" applyFont="1" applyFill="1" applyBorder="1" applyAlignment="1">
      <alignment horizontal="center"/>
    </xf>
    <xf numFmtId="0" fontId="3" fillId="5" borderId="0" xfId="0" applyFont="1" applyFill="1" applyAlignment="1">
      <alignment horizontal="center"/>
    </xf>
    <xf numFmtId="0" fontId="3" fillId="5" borderId="11" xfId="0" applyFont="1" applyFill="1" applyBorder="1" applyAlignment="1">
      <alignment horizontal="center"/>
    </xf>
    <xf numFmtId="0" fontId="11" fillId="8" borderId="4" xfId="0" applyFont="1" applyFill="1" applyBorder="1" applyAlignment="1">
      <alignment horizontal="center"/>
    </xf>
    <xf numFmtId="0" fontId="26" fillId="6" borderId="0" xfId="0" applyFont="1" applyFill="1" applyAlignment="1">
      <alignment horizontal="center"/>
    </xf>
    <xf numFmtId="0" fontId="26" fillId="4" borderId="0" xfId="0" applyFont="1" applyFill="1" applyAlignment="1">
      <alignment horizontal="center"/>
    </xf>
  </cellXfs>
  <cellStyles count="15">
    <cellStyle name="Normal" xfId="0"/>
    <cellStyle name="Comma" xfId="15"/>
    <cellStyle name="Comma [0]" xfId="16"/>
    <cellStyle name="Currency" xfId="17"/>
    <cellStyle name="Currency [0]" xfId="18"/>
    <cellStyle name="Followed Hyperlink" xfId="19"/>
    <cellStyle name="Hyperlink" xfId="20"/>
    <cellStyle name="Normal_Book2 Chart 1" xfId="21"/>
    <cellStyle name="Normal_FINISHED mankiw7_efficiency" xfId="22"/>
    <cellStyle name="Normal_FINISHED Mankiw8_demand_supply_tariff" xfId="23"/>
    <cellStyle name="Normal_gmat_lsat" xfId="24"/>
    <cellStyle name="Normal_long-run_cost_curves" xfId="25"/>
    <cellStyle name="Normal_mankiw_4_demand" xfId="26"/>
    <cellStyle name="Normal_mankiw7_efficiency.xls Chart 3"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
          <c:w val="0.97725"/>
          <c:h val="0.96775"/>
        </c:manualLayout>
      </c:layout>
      <c:scatterChart>
        <c:scatterStyle val="line"/>
        <c:varyColors val="0"/>
        <c:ser>
          <c:idx val="0"/>
          <c:order val="0"/>
          <c:tx>
            <c:v>Long-Run Total Cost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Total Price Maker'!$AA$2:$AA$55</c:f>
              <c:numCache/>
            </c:numRef>
          </c:xVal>
          <c:yVal>
            <c:numRef>
              <c:f>'LR Total Price Maker'!$AB$2:$AB$55</c:f>
              <c:numCache/>
            </c:numRef>
          </c:yVal>
          <c:smooth val="0"/>
        </c:ser>
        <c:ser>
          <c:idx val="1"/>
          <c:order val="1"/>
          <c:tx>
            <c:v>Total Revenue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Total Price Maker'!$AA$2:$AA$55</c:f>
              <c:numCache/>
            </c:numRef>
          </c:xVal>
          <c:yVal>
            <c:numRef>
              <c:f>'LR Total Price Maker'!$AE$2:$AE$55</c:f>
              <c:numCache/>
            </c:numRef>
          </c:yVal>
          <c:smooth val="0"/>
        </c:ser>
        <c:ser>
          <c:idx val="2"/>
          <c:order val="2"/>
          <c:tx>
            <c:strRef>
              <c:f>'LR Total Price Maker'!$AF$1</c:f>
              <c:strCache>
                <c:ptCount val="1"/>
                <c:pt idx="0">
                  <c:v>Profit</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Total Price Maker'!$AA$2:$AA$55</c:f>
              <c:numCache/>
            </c:numRef>
          </c:xVal>
          <c:yVal>
            <c:numRef>
              <c:f>'LR Total Price Maker'!$AF$2:$AF$55</c:f>
              <c:numCache/>
            </c:numRef>
          </c:yVal>
          <c:smooth val="0"/>
        </c:ser>
        <c:ser>
          <c:idx val="3"/>
          <c:order val="3"/>
          <c:tx>
            <c:v>Profit-maximizing Quantity</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Total Price Maker'!$AA$2:$AA$55</c:f>
              <c:numCache/>
            </c:numRef>
          </c:xVal>
          <c:yVal>
            <c:numRef>
              <c:f>'LR Total Price Maker'!$AG$2:$AG$55</c:f>
              <c:numCache/>
            </c:numRef>
          </c:yVal>
          <c:smooth val="0"/>
        </c:ser>
        <c:axId val="964367"/>
        <c:axId val="8679304"/>
      </c:scatterChart>
      <c:valAx>
        <c:axId val="964367"/>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8679304"/>
        <c:crosses val="autoZero"/>
        <c:crossBetween val="midCat"/>
        <c:dispUnits/>
      </c:valAx>
      <c:valAx>
        <c:axId val="8679304"/>
        <c:scaling>
          <c:orientation val="minMax"/>
          <c:max val="10000"/>
          <c:min val="-100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964367"/>
        <c:crosses val="autoZero"/>
        <c:crossBetween val="midCat"/>
        <c:dispUnits/>
      </c:valAx>
      <c:spPr>
        <a:noFill/>
        <a:ln>
          <a:noFill/>
        </a:ln>
      </c:spPr>
    </c:plotArea>
    <c:legend>
      <c:legendPos val="r"/>
      <c:layout>
        <c:manualLayout>
          <c:xMode val="edge"/>
          <c:yMode val="edge"/>
          <c:x val="0.52725"/>
          <c:y val="0"/>
          <c:w val="0.47275"/>
          <c:h val="0.1947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43"/>
          <c:w val="0.9625"/>
          <c:h val="0.928"/>
        </c:manualLayout>
      </c:layout>
      <c:scatterChart>
        <c:scatterStyle val="line"/>
        <c:varyColors val="0"/>
        <c:ser>
          <c:idx val="1"/>
          <c:order val="0"/>
          <c:tx>
            <c:v>Long-Run Marginal Cost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Maker'!$AA$2:$AA$55</c:f>
              <c:numCache/>
            </c:numRef>
          </c:xVal>
          <c:yVal>
            <c:numRef>
              <c:f>'LR Per Unit Price Maker'!$AC$2:$AC$55</c:f>
              <c:numCache/>
            </c:numRef>
          </c:yVal>
          <c:smooth val="0"/>
        </c:ser>
        <c:ser>
          <c:idx val="2"/>
          <c:order val="1"/>
          <c:tx>
            <c:v>Long-Run Average Cost (LAC)</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Maker'!$AA$2:$AA$55</c:f>
              <c:numCache/>
            </c:numRef>
          </c:xVal>
          <c:yVal>
            <c:numRef>
              <c:f>'LR Per Unit Price Maker'!$AD$2:$AD$55</c:f>
              <c:numCache/>
            </c:numRef>
          </c:yVal>
          <c:smooth val="0"/>
        </c:ser>
        <c:ser>
          <c:idx val="6"/>
          <c:order val="2"/>
          <c:tx>
            <c:strRef>
              <c:f>'LR Per Unit Price Maker'!$AH$1</c:f>
              <c:strCache>
                <c:ptCount val="1"/>
                <c:pt idx="0">
                  <c:v>Demand</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Maker'!$AA$2:$AA$55</c:f>
              <c:numCache/>
            </c:numRef>
          </c:xVal>
          <c:yVal>
            <c:numRef>
              <c:f>'LR Per Unit Price Maker'!$AH$2:$AH$55</c:f>
              <c:numCache/>
            </c:numRef>
          </c:yVal>
          <c:smooth val="0"/>
        </c:ser>
        <c:ser>
          <c:idx val="7"/>
          <c:order val="3"/>
          <c:tx>
            <c:v>LAC and profit-maximizing quantity</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Maker'!$AA$2:$AA$55</c:f>
              <c:numCache/>
            </c:numRef>
          </c:xVal>
          <c:yVal>
            <c:numRef>
              <c:f>'LR Per Unit Price Maker'!$AI$2:$AI$55</c:f>
              <c:numCache/>
            </c:numRef>
          </c:yVal>
          <c:smooth val="0"/>
        </c:ser>
        <c:ser>
          <c:idx val="0"/>
          <c:order val="4"/>
          <c:tx>
            <c:v>Marginal Revenue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Maker'!$AA$2:$AA$55</c:f>
              <c:numCache/>
            </c:numRef>
          </c:xVal>
          <c:yVal>
            <c:numRef>
              <c:f>'LR Per Unit Price Maker'!$AJ$2:$AJ$55</c:f>
              <c:numCache/>
            </c:numRef>
          </c:yVal>
          <c:smooth val="0"/>
        </c:ser>
        <c:ser>
          <c:idx val="3"/>
          <c:order val="5"/>
          <c:tx>
            <c:v>Price at profit-maximizing quantity</c:v>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Maker'!$AA$2:$AA$55</c:f>
              <c:numCache/>
            </c:numRef>
          </c:xVal>
          <c:yVal>
            <c:numRef>
              <c:f>'LR Per Unit Price Maker'!$AK$2:$AK$55</c:f>
              <c:numCache/>
            </c:numRef>
          </c:yVal>
          <c:smooth val="0"/>
        </c:ser>
        <c:axId val="11004873"/>
        <c:axId val="31934994"/>
      </c:scatterChart>
      <c:valAx>
        <c:axId val="11004873"/>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31934994"/>
        <c:crosses val="autoZero"/>
        <c:crossBetween val="midCat"/>
        <c:dispUnits/>
      </c:valAx>
      <c:valAx>
        <c:axId val="31934994"/>
        <c:scaling>
          <c:orientation val="minMax"/>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11004873"/>
        <c:crosses val="autoZero"/>
        <c:crossBetween val="midCat"/>
        <c:dispUnits/>
      </c:valAx>
      <c:spPr>
        <a:noFill/>
        <a:ln>
          <a:noFill/>
        </a:ln>
      </c:spPr>
    </c:plotArea>
    <c:legend>
      <c:legendPos val="r"/>
      <c:layout>
        <c:manualLayout>
          <c:xMode val="edge"/>
          <c:yMode val="edge"/>
          <c:x val="0.4085"/>
          <c:y val="0"/>
          <c:w val="0.575"/>
          <c:h val="0.253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4625"/>
          <c:w val="0.967"/>
          <c:h val="0.92025"/>
        </c:manualLayout>
      </c:layout>
      <c:scatterChart>
        <c:scatterStyle val="line"/>
        <c:varyColors val="0"/>
        <c:ser>
          <c:idx val="2"/>
          <c:order val="0"/>
          <c:tx>
            <c:v>Short-Run Marginal Cost</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Maker'!$AA$2:$AA$55</c:f>
              <c:numCache/>
            </c:numRef>
          </c:xVal>
          <c:yVal>
            <c:numRef>
              <c:f>'SR Per Unit Price Maker'!$AE$2:$AE$55</c:f>
              <c:numCache/>
            </c:numRef>
          </c:yVal>
          <c:smooth val="0"/>
        </c:ser>
        <c:ser>
          <c:idx val="3"/>
          <c:order val="1"/>
          <c:tx>
            <c:v>Short-Run Average Cost (SAC)</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Maker'!$AA$2:$AA$55</c:f>
              <c:numCache/>
            </c:numRef>
          </c:xVal>
          <c:yVal>
            <c:numRef>
              <c:f>'SR Per Unit Price Maker'!$AF$2:$AF$55</c:f>
              <c:numCache/>
            </c:numRef>
          </c:yVal>
          <c:smooth val="0"/>
        </c:ser>
        <c:ser>
          <c:idx val="4"/>
          <c:order val="2"/>
          <c:tx>
            <c:v>Demand</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Maker'!$AA$2:$AA$55</c:f>
              <c:numCache/>
            </c:numRef>
          </c:xVal>
          <c:yVal>
            <c:numRef>
              <c:f>'SR Per Unit Price Maker'!$AH$2:$AH$55</c:f>
              <c:numCache/>
            </c:numRef>
          </c:yVal>
          <c:smooth val="0"/>
        </c:ser>
        <c:ser>
          <c:idx val="6"/>
          <c:order val="3"/>
          <c:tx>
            <c:v>SAC at profit-maximizing quantity</c:v>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Maker'!$AA$2:$AA$55</c:f>
              <c:numCache/>
            </c:numRef>
          </c:xVal>
          <c:yVal>
            <c:numRef>
              <c:f>'SR Per Unit Price Maker'!$AQ$2:$AQ$55</c:f>
              <c:numCache/>
            </c:numRef>
          </c:yVal>
          <c:smooth val="0"/>
        </c:ser>
        <c:ser>
          <c:idx val="7"/>
          <c:order val="4"/>
          <c:tx>
            <c:v>Marginal Revenue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Maker'!$AA$2:$AA$55</c:f>
              <c:numCache/>
            </c:numRef>
          </c:xVal>
          <c:yVal>
            <c:numRef>
              <c:f>'SR Per Unit Price Maker'!$AI$2:$AI$55</c:f>
              <c:numCache/>
            </c:numRef>
          </c:yVal>
          <c:smooth val="0"/>
        </c:ser>
        <c:ser>
          <c:idx val="9"/>
          <c:order val="5"/>
          <c:tx>
            <c:v>Price at profit-maximizing quantity</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Maker'!$AA$2:$AA$55</c:f>
              <c:numCache/>
            </c:numRef>
          </c:xVal>
          <c:yVal>
            <c:numRef>
              <c:f>'SR Per Unit Price Maker'!$AS$2:$AS$55</c:f>
              <c:numCache/>
            </c:numRef>
          </c:yVal>
          <c:smooth val="0"/>
        </c:ser>
        <c:axId val="18979491"/>
        <c:axId val="36597692"/>
      </c:scatterChart>
      <c:valAx>
        <c:axId val="18979491"/>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36597692"/>
        <c:crosses val="autoZero"/>
        <c:crossBetween val="midCat"/>
        <c:dispUnits/>
      </c:valAx>
      <c:valAx>
        <c:axId val="36597692"/>
        <c:scaling>
          <c:orientation val="minMax"/>
          <c:max val="1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18979491"/>
        <c:crosses val="autoZero"/>
        <c:crossBetween val="midCat"/>
        <c:dispUnits/>
      </c:valAx>
      <c:spPr>
        <a:noFill/>
        <a:ln>
          <a:noFill/>
        </a:ln>
      </c:spPr>
    </c:plotArea>
    <c:legend>
      <c:legendPos val="r"/>
      <c:layout>
        <c:manualLayout>
          <c:xMode val="edge"/>
          <c:yMode val="edge"/>
          <c:x val="0.376"/>
          <c:y val="0"/>
          <c:w val="0.624"/>
          <c:h val="0.3067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
          <c:w val="0.979"/>
          <c:h val="0.96775"/>
        </c:manualLayout>
      </c:layout>
      <c:scatterChart>
        <c:scatterStyle val="line"/>
        <c:varyColors val="0"/>
        <c:ser>
          <c:idx val="0"/>
          <c:order val="0"/>
          <c:tx>
            <c:v>Long-Run Total Cost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Total Price Taker'!$AA$2:$AA$55</c:f>
              <c:numCache/>
            </c:numRef>
          </c:xVal>
          <c:yVal>
            <c:numRef>
              <c:f>'LR Total Price Taker'!$AB$2:$AB$55</c:f>
              <c:numCache/>
            </c:numRef>
          </c:yVal>
          <c:smooth val="0"/>
        </c:ser>
        <c:ser>
          <c:idx val="1"/>
          <c:order val="1"/>
          <c:tx>
            <c:v>Total Revenue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Total Price Taker'!$AA$2:$AA$55</c:f>
              <c:numCache/>
            </c:numRef>
          </c:xVal>
          <c:yVal>
            <c:numRef>
              <c:f>'LR Total Price Taker'!$AE$2:$AE$55</c:f>
              <c:numCache/>
            </c:numRef>
          </c:yVal>
          <c:smooth val="0"/>
        </c:ser>
        <c:ser>
          <c:idx val="2"/>
          <c:order val="2"/>
          <c:tx>
            <c:strRef>
              <c:f>'LR Total Price Taker'!$AF$1</c:f>
              <c:strCache>
                <c:ptCount val="1"/>
                <c:pt idx="0">
                  <c:v>Profit</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Total Price Taker'!$AA$2:$AA$55</c:f>
              <c:numCache/>
            </c:numRef>
          </c:xVal>
          <c:yVal>
            <c:numRef>
              <c:f>'LR Total Price Taker'!$AF$2:$AF$55</c:f>
              <c:numCache/>
            </c:numRef>
          </c:yVal>
          <c:smooth val="0"/>
        </c:ser>
        <c:ser>
          <c:idx val="3"/>
          <c:order val="3"/>
          <c:tx>
            <c:v>Profit-maximizing Quantity</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Total Price Taker'!$AA$2:$AA$55</c:f>
              <c:numCache/>
            </c:numRef>
          </c:xVal>
          <c:yVal>
            <c:numRef>
              <c:f>'LR Total Price Taker'!$AG$2:$AG$55</c:f>
              <c:numCache/>
            </c:numRef>
          </c:yVal>
          <c:smooth val="0"/>
        </c:ser>
        <c:axId val="60943773"/>
        <c:axId val="11623046"/>
      </c:scatterChart>
      <c:valAx>
        <c:axId val="60943773"/>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11623046"/>
        <c:crosses val="autoZero"/>
        <c:crossBetween val="midCat"/>
        <c:dispUnits/>
      </c:valAx>
      <c:valAx>
        <c:axId val="11623046"/>
        <c:scaling>
          <c:orientation val="minMax"/>
          <c:max val="10000"/>
          <c:min val="-100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60943773"/>
        <c:crosses val="autoZero"/>
        <c:crossBetween val="midCat"/>
        <c:dispUnits/>
      </c:valAx>
      <c:spPr>
        <a:noFill/>
        <a:ln>
          <a:noFill/>
        </a:ln>
      </c:spPr>
    </c:plotArea>
    <c:legend>
      <c:legendPos val="r"/>
      <c:layout>
        <c:manualLayout>
          <c:xMode val="edge"/>
          <c:yMode val="edge"/>
          <c:x val="0.14"/>
          <c:y val="0.0025"/>
          <c:w val="0.4705"/>
          <c:h val="0.156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4375"/>
          <c:w val="0.9625"/>
          <c:h val="0.92725"/>
        </c:manualLayout>
      </c:layout>
      <c:scatterChart>
        <c:scatterStyle val="line"/>
        <c:varyColors val="0"/>
        <c:ser>
          <c:idx val="1"/>
          <c:order val="0"/>
          <c:tx>
            <c:v>Long-Run Marginal Cost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Taker'!$AA$2:$AA$55</c:f>
              <c:numCache/>
            </c:numRef>
          </c:xVal>
          <c:yVal>
            <c:numRef>
              <c:f>'LR Per Unit Price Taker'!$AC$2:$AC$55</c:f>
              <c:numCache/>
            </c:numRef>
          </c:yVal>
          <c:smooth val="0"/>
        </c:ser>
        <c:ser>
          <c:idx val="2"/>
          <c:order val="1"/>
          <c:tx>
            <c:v>Long-Run Average Cost (LAC)</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Taker'!$AA$2:$AA$55</c:f>
              <c:numCache/>
            </c:numRef>
          </c:xVal>
          <c:yVal>
            <c:numRef>
              <c:f>'LR Per Unit Price Taker'!$AD$2:$AD$55</c:f>
              <c:numCache/>
            </c:numRef>
          </c:yVal>
          <c:smooth val="0"/>
        </c:ser>
        <c:ser>
          <c:idx val="7"/>
          <c:order val="2"/>
          <c:tx>
            <c:v>LAC for profit-maximizing quantity</c:v>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Taker'!$AA$2:$AA$55</c:f>
              <c:numCache/>
            </c:numRef>
          </c:xVal>
          <c:yVal>
            <c:numRef>
              <c:f>'LR Per Unit Price Taker'!$AI$2:$AI$55</c:f>
              <c:numCache/>
            </c:numRef>
          </c:yVal>
          <c:smooth val="0"/>
        </c:ser>
        <c:ser>
          <c:idx val="3"/>
          <c:order val="3"/>
          <c:tx>
            <c:v>Profit-maximzing Quantity</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Taker'!$AA$2:$AA$55</c:f>
              <c:numCache/>
            </c:numRef>
          </c:xVal>
          <c:yVal>
            <c:numRef>
              <c:f>'LR Per Unit Price Taker'!$AK$2:$AK$55</c:f>
              <c:numCache/>
            </c:numRef>
          </c:yVal>
          <c:smooth val="0"/>
        </c:ser>
        <c:ser>
          <c:idx val="6"/>
          <c:order val="4"/>
          <c:tx>
            <c:strRef>
              <c:f>'LR Per Unit Price Taker'!$AH$1</c:f>
              <c:strCache>
                <c:ptCount val="1"/>
                <c:pt idx="0">
                  <c:v>Demand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'LR Per Unit Price Taker'!$AA$2:$AA$55</c:f>
              <c:numCache/>
            </c:numRef>
          </c:xVal>
          <c:yVal>
            <c:numRef>
              <c:f>'LR Per Unit Price Taker'!$AH$2:$AH$55</c:f>
              <c:numCache/>
            </c:numRef>
          </c:yVal>
          <c:smooth val="0"/>
        </c:ser>
        <c:axId val="37498551"/>
        <c:axId val="1942640"/>
      </c:scatterChart>
      <c:valAx>
        <c:axId val="37498551"/>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1942640"/>
        <c:crosses val="autoZero"/>
        <c:crossBetween val="midCat"/>
        <c:dispUnits/>
      </c:valAx>
      <c:valAx>
        <c:axId val="1942640"/>
        <c:scaling>
          <c:orientation val="minMax"/>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37498551"/>
        <c:crosses val="autoZero"/>
        <c:crossBetween val="midCat"/>
        <c:dispUnits/>
      </c:valAx>
      <c:spPr>
        <a:noFill/>
        <a:ln>
          <a:noFill/>
        </a:ln>
      </c:spPr>
    </c:plotArea>
    <c:legend>
      <c:legendPos val="r"/>
      <c:layout>
        <c:manualLayout>
          <c:xMode val="edge"/>
          <c:yMode val="edge"/>
          <c:x val="0.432"/>
          <c:y val="0.06575"/>
          <c:w val="0.56575"/>
          <c:h val="0.1847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4625"/>
          <c:w val="0.967"/>
          <c:h val="0.919"/>
        </c:manualLayout>
      </c:layout>
      <c:scatterChart>
        <c:scatterStyle val="line"/>
        <c:varyColors val="0"/>
        <c:ser>
          <c:idx val="2"/>
          <c:order val="0"/>
          <c:tx>
            <c:v>Short-Run Marginal Cost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Taker'!$AA$2:$AA$55</c:f>
              <c:numCache/>
            </c:numRef>
          </c:xVal>
          <c:yVal>
            <c:numRef>
              <c:f>'SR Per Unit Price Taker'!$AE$2:$AE$55</c:f>
              <c:numCache/>
            </c:numRef>
          </c:yVal>
          <c:smooth val="0"/>
        </c:ser>
        <c:ser>
          <c:idx val="3"/>
          <c:order val="1"/>
          <c:tx>
            <c:v>Short-Run Average Cost (SAC)</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Taker'!$AA$2:$AA$55</c:f>
              <c:numCache/>
            </c:numRef>
          </c:xVal>
          <c:yVal>
            <c:numRef>
              <c:f>'SR Per Unit Price Taker'!$AF$2:$AF$55</c:f>
              <c:numCache/>
            </c:numRef>
          </c:yVal>
          <c:smooth val="0"/>
        </c:ser>
        <c:ser>
          <c:idx val="6"/>
          <c:order val="2"/>
          <c:tx>
            <c:v>SAC at profit-maximizing quantity</c:v>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Taker'!$AA$2:$AA$55</c:f>
              <c:numCache/>
            </c:numRef>
          </c:xVal>
          <c:yVal>
            <c:numRef>
              <c:f>'SR Per Unit Price Taker'!$AQ$2:$AQ$55</c:f>
              <c:numCache/>
            </c:numRef>
          </c:yVal>
          <c:smooth val="0"/>
        </c:ser>
        <c:ser>
          <c:idx val="9"/>
          <c:order val="3"/>
          <c:tx>
            <c:v>Profit-maximizing Quantity</c:v>
          </c:tx>
          <c:spPr>
            <a:ln w="3175">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Taker'!$AA$2:$AA$55</c:f>
              <c:numCache/>
            </c:numRef>
          </c:xVal>
          <c:yVal>
            <c:numRef>
              <c:f>'SR Per Unit Price Taker'!$AS$2:$AS$55</c:f>
              <c:numCache/>
            </c:numRef>
          </c:yVal>
          <c:smooth val="0"/>
        </c:ser>
        <c:ser>
          <c:idx val="4"/>
          <c:order val="4"/>
          <c:tx>
            <c:v>Demand</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'SR Per Unit Price Taker'!$AA$2:$AA$55</c:f>
              <c:numCache/>
            </c:numRef>
          </c:xVal>
          <c:yVal>
            <c:numRef>
              <c:f>'SR Per Unit Price Taker'!$AH$2:$AH$55</c:f>
              <c:numCache/>
            </c:numRef>
          </c:yVal>
          <c:smooth val="0"/>
        </c:ser>
        <c:axId val="17483761"/>
        <c:axId val="23136122"/>
      </c:scatterChart>
      <c:valAx>
        <c:axId val="17483761"/>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23136122"/>
        <c:crosses val="autoZero"/>
        <c:crossBetween val="midCat"/>
        <c:dispUnits/>
      </c:valAx>
      <c:valAx>
        <c:axId val="23136122"/>
        <c:scaling>
          <c:orientation val="minMax"/>
          <c:max val="1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17483761"/>
        <c:crosses val="autoZero"/>
        <c:crossBetween val="midCat"/>
        <c:dispUnits/>
      </c:valAx>
      <c:spPr>
        <a:noFill/>
        <a:ln>
          <a:noFill/>
        </a:ln>
      </c:spPr>
    </c:plotArea>
    <c:legend>
      <c:legendPos val="r"/>
      <c:layout>
        <c:manualLayout>
          <c:xMode val="edge"/>
          <c:yMode val="edge"/>
          <c:x val="0.4505"/>
          <c:y val="0"/>
          <c:w val="0.5495"/>
          <c:h val="0.242"/>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4"/>
          <c:w val="0.774"/>
          <c:h val="0.91225"/>
        </c:manualLayout>
      </c:layout>
      <c:scatterChart>
        <c:scatterStyle val="line"/>
        <c:varyColors val="0"/>
        <c:ser>
          <c:idx val="0"/>
          <c:order val="0"/>
          <c:tx>
            <c:strRef>
              <c:f>Basic!$AD$2</c:f>
              <c:strCache>
                <c:ptCount val="1"/>
                <c:pt idx="0">
                  <c:v>LMC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Basic!$AA$3:$AA$56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Basic!$AD$3:$AD$56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ser>
          <c:idx val="1"/>
          <c:order val="1"/>
          <c:tx>
            <c:strRef>
              <c:f>Basic!$AG$2</c:f>
              <c:strCache>
                <c:ptCount val="1"/>
                <c:pt idx="0">
                  <c:v>LAC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Basic!$AA$3:$AA$56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Basic!$AG$3:$AG$56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ser>
          <c:idx val="2"/>
          <c:order val="2"/>
          <c:tx>
            <c:strRef>
              <c:f>Basic!$AE$2</c:f>
              <c:strCache>
                <c:ptCount val="1"/>
                <c:pt idx="0">
                  <c:v>SMC</c:v>
                </c:pt>
              </c:strCache>
            </c:strRef>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Basic!$AA$3:$AA$56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Basic!$AE$3:$AE$56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ser>
          <c:idx val="3"/>
          <c:order val="3"/>
          <c:tx>
            <c:strRef>
              <c:f>Basic!$AF$2</c:f>
              <c:strCache>
                <c:ptCount val="1"/>
                <c:pt idx="0">
                  <c:v>SAC</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Basic!$AA$3:$AA$56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Basic!$AF$3:$AF$56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axId val="6898507"/>
        <c:axId val="62086564"/>
      </c:scatterChart>
      <c:valAx>
        <c:axId val="6898507"/>
        <c:scaling>
          <c:orientation val="minMax"/>
        </c:scaling>
        <c:axPos val="b"/>
        <c:delete val="0"/>
        <c:numFmt formatCode="General" sourceLinked="1"/>
        <c:majorTickMark val="out"/>
        <c:minorTickMark val="none"/>
        <c:tickLblPos val="nextTo"/>
        <c:crossAx val="62086564"/>
        <c:crosses val="autoZero"/>
        <c:crossBetween val="midCat"/>
        <c:dispUnits/>
      </c:valAx>
      <c:valAx>
        <c:axId val="62086564"/>
        <c:scaling>
          <c:orientation val="minMax"/>
          <c:max val="100"/>
          <c:min val="0"/>
        </c:scaling>
        <c:axPos val="l"/>
        <c:delete val="0"/>
        <c:numFmt formatCode="General" sourceLinked="1"/>
        <c:majorTickMark val="out"/>
        <c:minorTickMark val="none"/>
        <c:tickLblPos val="nextTo"/>
        <c:crossAx val="6898507"/>
        <c:crosses val="autoZero"/>
        <c:crossBetween val="midCat"/>
        <c:dispUnits/>
      </c:valAx>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Times New Roman"/>
          <a:ea typeface="Times New Roman"/>
          <a:cs typeface="Times New Roman"/>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4325"/>
          <c:w val="0.80625"/>
          <c:h val="0.9135"/>
        </c:manualLayout>
      </c:layout>
      <c:scatterChart>
        <c:scatterStyle val="line"/>
        <c:varyColors val="0"/>
        <c:ser>
          <c:idx val="0"/>
          <c:order val="0"/>
          <c:tx>
            <c:strRef>
              <c:f>Basic!$AB$2</c:f>
              <c:strCache>
                <c:ptCount val="1"/>
                <c:pt idx="0">
                  <c:v>LTC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Basic!$AA$3:$AA$56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Basic!$AB$3:$AB$56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ser>
          <c:idx val="1"/>
          <c:order val="1"/>
          <c:tx>
            <c:strRef>
              <c:f>Basic!$AC$2</c:f>
              <c:strCache>
                <c:ptCount val="1"/>
                <c:pt idx="0">
                  <c:v>STC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Basic!$AA$3:$AA$56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Basic!$AC$3:$AC$56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axId val="21908165"/>
        <c:axId val="62955758"/>
      </c:scatterChart>
      <c:valAx>
        <c:axId val="21908165"/>
        <c:scaling>
          <c:orientation val="minMax"/>
        </c:scaling>
        <c:axPos val="b"/>
        <c:delete val="0"/>
        <c:numFmt formatCode="General" sourceLinked="1"/>
        <c:majorTickMark val="out"/>
        <c:minorTickMark val="none"/>
        <c:tickLblPos val="nextTo"/>
        <c:crossAx val="62955758"/>
        <c:crosses val="autoZero"/>
        <c:crossBetween val="midCat"/>
        <c:dispUnits/>
      </c:valAx>
      <c:valAx>
        <c:axId val="62955758"/>
        <c:scaling>
          <c:orientation val="minMax"/>
          <c:max val="12000"/>
        </c:scaling>
        <c:axPos val="l"/>
        <c:delete val="0"/>
        <c:numFmt formatCode="General" sourceLinked="1"/>
        <c:majorTickMark val="out"/>
        <c:minorTickMark val="none"/>
        <c:tickLblPos val="nextTo"/>
        <c:crossAx val="21908165"/>
        <c:crosses val="autoZero"/>
        <c:crossBetween val="midCat"/>
        <c:dispUnits/>
      </c:valAx>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Times New Roman"/>
          <a:ea typeface="Times New Roman"/>
          <a:cs typeface="Times New Roman"/>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314325</xdr:colOff>
      <xdr:row>13</xdr:row>
      <xdr:rowOff>38100</xdr:rowOff>
    </xdr:to>
    <xdr:sp>
      <xdr:nvSpPr>
        <xdr:cNvPr id="1" name="Text 1"/>
        <xdr:cNvSpPr txBox="1">
          <a:spLocks noChangeArrowheads="1"/>
        </xdr:cNvSpPr>
      </xdr:nvSpPr>
      <xdr:spPr>
        <a:xfrm>
          <a:off x="47625" y="0"/>
          <a:ext cx="3314700" cy="226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Times New Roman"/>
              <a:ea typeface="Times New Roman"/>
              <a:cs typeface="Times New Roman"/>
            </a:rPr>
            <a:t> </a:t>
          </a:r>
          <a:r>
            <a:rPr lang="en-US" cap="none" sz="1200" b="1" i="0" u="none" baseline="0">
              <a:latin typeface="Times New Roman"/>
              <a:ea typeface="Times New Roman"/>
              <a:cs typeface="Times New Roman"/>
            </a:rPr>
            <a:t>                          </a:t>
          </a:r>
          <a:r>
            <a:rPr lang="en-US" cap="none" sz="1400" b="1" i="0" u="none" baseline="0">
              <a:solidFill>
                <a:srgbClr val="0000FF"/>
              </a:solidFill>
              <a:latin typeface="Times New Roman"/>
              <a:ea typeface="Times New Roman"/>
              <a:cs typeface="Times New Roman"/>
            </a:rPr>
            <a:t>The Workbook</a:t>
          </a:r>
          <a:r>
            <a:rPr lang="en-US" cap="none" sz="1200" b="1" i="0" u="none" baseline="0">
              <a:latin typeface="Times New Roman"/>
              <a:ea typeface="Times New Roman"/>
              <a:cs typeface="Times New Roman"/>
            </a:rPr>
            <a:t>
</a:t>
          </a:r>
          <a:r>
            <a:rPr lang="en-US" cap="none" sz="1100" b="1" i="0" u="none" baseline="0">
              <a:latin typeface="Times New Roman"/>
              <a:ea typeface="Times New Roman"/>
              <a:cs typeface="Times New Roman"/>
            </a:rPr>
            <a:t>This workbook displays Cost and revenue curves for price-making and price-taking firms. 
</a:t>
          </a:r>
          <a:r>
            <a:rPr lang="en-US" cap="none" sz="1100" b="1" i="0" u="none" baseline="0">
              <a:solidFill>
                <a:srgbClr val="0000FF"/>
              </a:solidFill>
              <a:latin typeface="Times New Roman"/>
              <a:ea typeface="Times New Roman"/>
              <a:cs typeface="Times New Roman"/>
            </a:rPr>
            <a:t>Cost</a:t>
          </a:r>
          <a:r>
            <a:rPr lang="en-US" cap="none" sz="1100" b="1" i="0" u="none" baseline="0">
              <a:latin typeface="Times New Roman"/>
              <a:ea typeface="Times New Roman"/>
              <a:cs typeface="Times New Roman"/>
            </a:rPr>
            <a:t>: Long-run and short-run total cost curves:</a:t>
          </a:r>
          <a:r>
            <a:rPr lang="en-US" cap="none" sz="1200" b="1" i="0" u="none" baseline="0">
              <a:latin typeface="Times New Roman"/>
              <a:ea typeface="Times New Roman"/>
              <a:cs typeface="Times New Roman"/>
            </a:rPr>
            <a:t>
     LTC = aQ</a:t>
          </a:r>
          <a:r>
            <a:rPr lang="en-US" cap="none" sz="1200" b="1" i="0" u="none" baseline="30000">
              <a:latin typeface="Times New Roman"/>
              <a:ea typeface="Times New Roman"/>
              <a:cs typeface="Times New Roman"/>
            </a:rPr>
            <a:t>2</a:t>
          </a:r>
          <a:r>
            <a:rPr lang="en-US" cap="none" sz="1200" b="1" i="0" u="none" baseline="0">
              <a:latin typeface="Times New Roman"/>
              <a:ea typeface="Times New Roman"/>
              <a:cs typeface="Times New Roman"/>
            </a:rPr>
            <a:t> + bQ</a:t>
          </a:r>
          <a:r>
            <a:rPr lang="en-US" cap="none" sz="1200" b="1" i="0" u="none" baseline="30000">
              <a:latin typeface="Times New Roman"/>
              <a:ea typeface="Times New Roman"/>
              <a:cs typeface="Times New Roman"/>
            </a:rPr>
            <a:t>0.5
       </a:t>
          </a:r>
          <a:r>
            <a:rPr lang="en-US" cap="none" sz="1200" b="1" i="0" u="none" baseline="0">
              <a:latin typeface="Times New Roman"/>
              <a:ea typeface="Times New Roman"/>
              <a:cs typeface="Times New Roman"/>
            </a:rPr>
            <a:t>STC = mQ</a:t>
          </a:r>
          <a:r>
            <a:rPr lang="en-US" cap="none" sz="1200" b="1" i="0" u="none" baseline="30000">
              <a:latin typeface="Times New Roman"/>
              <a:ea typeface="Times New Roman"/>
              <a:cs typeface="Times New Roman"/>
            </a:rPr>
            <a:t>3</a:t>
          </a:r>
          <a:r>
            <a:rPr lang="en-US" cap="none" sz="1200" b="1" i="0" u="none" baseline="0">
              <a:latin typeface="Times New Roman"/>
              <a:ea typeface="Times New Roman"/>
              <a:cs typeface="Times New Roman"/>
            </a:rPr>
            <a:t> + n
P</a:t>
          </a:r>
          <a:r>
            <a:rPr lang="en-US" cap="none" sz="1100" b="1" i="0" u="none" baseline="0">
              <a:latin typeface="Times New Roman"/>
              <a:ea typeface="Times New Roman"/>
              <a:cs typeface="Times New Roman"/>
            </a:rPr>
            <a:t>arameters are determined in response to user-supplied cost and quantity values.</a:t>
          </a:r>
          <a:r>
            <a:rPr lang="en-US" cap="none" sz="1200" b="1" i="0" u="none" baseline="0">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Revenue</a:t>
          </a:r>
          <a:r>
            <a:rPr lang="en-US" cap="none" sz="1200" b="1" i="0" u="none" baseline="0">
              <a:latin typeface="Times New Roman"/>
              <a:ea typeface="Times New Roman"/>
              <a:cs typeface="Times New Roman"/>
            </a:rPr>
            <a:t>. </a:t>
          </a:r>
          <a:r>
            <a:rPr lang="en-US" cap="none" sz="1100" b="1" i="0" u="none" baseline="0">
              <a:latin typeface="Times New Roman"/>
              <a:ea typeface="Times New Roman"/>
              <a:cs typeface="Times New Roman"/>
            </a:rPr>
            <a:t>For the price-making firm, </a:t>
          </a:r>
          <a:r>
            <a:rPr lang="en-US" cap="none" sz="1200" b="1" i="0" u="none" baseline="0">
              <a:latin typeface="Times New Roman"/>
              <a:ea typeface="Times New Roman"/>
              <a:cs typeface="Times New Roman"/>
            </a:rPr>
            <a:t>
   P = P_intercept - 0.4*Q.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
</a:t>
          </a:r>
        </a:p>
      </xdr:txBody>
    </xdr:sp>
    <xdr:clientData/>
  </xdr:twoCellAnchor>
  <xdr:twoCellAnchor>
    <xdr:from>
      <xdr:col>8</xdr:col>
      <xdr:colOff>228600</xdr:colOff>
      <xdr:row>0</xdr:row>
      <xdr:rowOff>28575</xdr:rowOff>
    </xdr:from>
    <xdr:to>
      <xdr:col>14</xdr:col>
      <xdr:colOff>457200</xdr:colOff>
      <xdr:row>25</xdr:row>
      <xdr:rowOff>19050</xdr:rowOff>
    </xdr:to>
    <xdr:sp>
      <xdr:nvSpPr>
        <xdr:cNvPr id="2" name="TextBox 7"/>
        <xdr:cNvSpPr txBox="1">
          <a:spLocks noChangeArrowheads="1"/>
        </xdr:cNvSpPr>
      </xdr:nvSpPr>
      <xdr:spPr>
        <a:xfrm>
          <a:off x="5105400" y="28575"/>
          <a:ext cx="3886200" cy="427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Times New Roman"/>
              <a:ea typeface="Times New Roman"/>
              <a:cs typeface="Times New Roman"/>
            </a:rPr>
            <a:t>                               </a:t>
          </a:r>
          <a:r>
            <a:rPr lang="en-US" cap="none" sz="1400" b="1" i="0" u="none" baseline="0">
              <a:solidFill>
                <a:srgbClr val="0000FF"/>
              </a:solidFill>
              <a:latin typeface="Times New Roman"/>
              <a:ea typeface="Times New Roman"/>
              <a:cs typeface="Times New Roman"/>
            </a:rPr>
            <a:t>The Worksheets</a:t>
          </a:r>
          <a:r>
            <a:rPr lang="en-US" cap="none" sz="11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LR Total Price Maker</a:t>
          </a:r>
          <a:r>
            <a:rPr lang="en-US" cap="none" sz="1200" b="1" i="0" u="none" baseline="0">
              <a:latin typeface="Times New Roman"/>
              <a:ea typeface="Times New Roman"/>
              <a:cs typeface="Times New Roman"/>
            </a:rPr>
            <a:t> </a:t>
          </a:r>
          <a:r>
            <a:rPr lang="en-US" cap="none" sz="1100" b="1" i="0" u="none" baseline="0">
              <a:latin typeface="Times New Roman"/>
              <a:ea typeface="Times New Roman"/>
              <a:cs typeface="Times New Roman"/>
            </a:rPr>
            <a:t>(Long-run total cost and revenue for a price-making firm). Shows total cost and total revenue for a price-making firm. The underlying demand curve is 
   P = P_intercept - 0.4*Q. The user may shift the demand curve by changing the P_intercept.</a:t>
          </a:r>
          <a:r>
            <a:rPr lang="en-US" cap="none" sz="1200" b="1" i="0" u="none" baseline="0">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LR Per Unit Price Maker</a:t>
          </a:r>
          <a:r>
            <a:rPr lang="en-US" cap="none" sz="1200" b="1" i="0" u="none" baseline="0">
              <a:latin typeface="Times New Roman"/>
              <a:ea typeface="Times New Roman"/>
              <a:cs typeface="Times New Roman"/>
            </a:rPr>
            <a:t> </a:t>
          </a:r>
          <a:r>
            <a:rPr lang="en-US" cap="none" sz="1100" b="1" i="0" u="none" baseline="0">
              <a:latin typeface="Times New Roman"/>
              <a:ea typeface="Times New Roman"/>
              <a:cs typeface="Times New Roman"/>
            </a:rPr>
            <a:t>(Long-run per-unit cost and revenue for a price-making firm). Repeats information above in per-unit terms, using the same demand curve and long-run per-unit cost curves.</a:t>
          </a:r>
          <a:r>
            <a:rPr lang="en-US" cap="none" sz="1200" b="1" i="0" u="none" baseline="0">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SR Per Unit Price Maker</a:t>
          </a:r>
          <a:r>
            <a:rPr lang="en-US" cap="none" sz="1200" b="1" i="0" u="none" baseline="0">
              <a:latin typeface="Times New Roman"/>
              <a:ea typeface="Times New Roman"/>
              <a:cs typeface="Times New Roman"/>
            </a:rPr>
            <a:t> </a:t>
          </a:r>
          <a:r>
            <a:rPr lang="en-US" cap="none" sz="1100" b="1" i="0" u="none" baseline="0">
              <a:latin typeface="Times New Roman"/>
              <a:ea typeface="Times New Roman"/>
              <a:cs typeface="Times New Roman"/>
            </a:rPr>
            <a:t>(Short-run per-unit cost and revenue for a price-making firm). Repeats the information above in per-unit terms, using the same demand curve and a short-run per-unit cost curves. The user specifies which short-run cost curve to use by specifying the Q at which LTC = STC.</a:t>
          </a:r>
          <a:r>
            <a:rPr lang="en-US" cap="none" sz="1200" b="1" i="0" u="none" baseline="0">
              <a:latin typeface="Times New Roman"/>
              <a:ea typeface="Times New Roman"/>
              <a:cs typeface="Times New Roman"/>
            </a:rPr>
            <a:t>
</a:t>
          </a:r>
          <a:r>
            <a:rPr lang="en-US" cap="none" sz="1100" b="1" i="0" u="none" baseline="0">
              <a:latin typeface="Times New Roman"/>
              <a:ea typeface="Times New Roman"/>
              <a:cs typeface="Times New Roman"/>
            </a:rPr>
            <a:t>The next three sheets are for a price-taking firm.</a:t>
          </a:r>
          <a:r>
            <a:rPr lang="en-US" cap="none" sz="1200" b="1" i="0" u="none" baseline="0">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LR Total Price Maker</a:t>
          </a:r>
          <a:r>
            <a:rPr lang="en-US" cap="none" sz="1200" b="1" i="0" u="none" baseline="0">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LR Per Unit Price Maker</a:t>
          </a:r>
          <a:r>
            <a:rPr lang="en-US" cap="none" sz="1200" b="1" i="0" u="none" baseline="0">
              <a:latin typeface="Times New Roman"/>
              <a:ea typeface="Times New Roman"/>
              <a:cs typeface="Times New Roman"/>
            </a:rPr>
            <a:t>, and
   </a:t>
          </a:r>
          <a:r>
            <a:rPr lang="en-US" cap="none" sz="1200" b="1" i="0" u="none" baseline="0">
              <a:solidFill>
                <a:srgbClr val="0000FF"/>
              </a:solidFill>
              <a:latin typeface="Times New Roman"/>
              <a:ea typeface="Times New Roman"/>
              <a:cs typeface="Times New Roman"/>
            </a:rPr>
            <a:t>SR Per Unit Price Maker</a:t>
          </a:r>
          <a:r>
            <a:rPr lang="en-US" cap="none" sz="1200" b="1" i="0" u="none" baseline="0">
              <a:latin typeface="Times New Roman"/>
              <a:ea typeface="Times New Roman"/>
              <a:cs typeface="Times New Roman"/>
            </a:rPr>
            <a:t>
</a:t>
          </a:r>
          <a:r>
            <a:rPr lang="en-US" cap="none" sz="1100" b="1" i="0" u="none" baseline="0">
              <a:latin typeface="Times New Roman"/>
              <a:ea typeface="Times New Roman"/>
              <a:cs typeface="Times New Roman"/>
            </a:rPr>
            <a:t>repeat the material above for a price-taking firm.</a:t>
          </a:r>
          <a:r>
            <a:rPr lang="en-US" cap="none" sz="1200" b="1" i="0" u="none" baseline="0">
              <a:latin typeface="Times New Roman"/>
              <a:ea typeface="Times New Roman"/>
              <a:cs typeface="Times New Roman"/>
            </a:rPr>
            <a:t>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
</a:t>
          </a:r>
        </a:p>
      </xdr:txBody>
    </xdr:sp>
    <xdr:clientData/>
  </xdr:twoCellAnchor>
  <xdr:twoCellAnchor>
    <xdr:from>
      <xdr:col>0</xdr:col>
      <xdr:colOff>38100</xdr:colOff>
      <xdr:row>14</xdr:row>
      <xdr:rowOff>123825</xdr:rowOff>
    </xdr:from>
    <xdr:to>
      <xdr:col>8</xdr:col>
      <xdr:colOff>85725</xdr:colOff>
      <xdr:row>27</xdr:row>
      <xdr:rowOff>66675</xdr:rowOff>
    </xdr:to>
    <xdr:sp>
      <xdr:nvSpPr>
        <xdr:cNvPr id="3" name="TextBox 8"/>
        <xdr:cNvSpPr txBox="1">
          <a:spLocks noChangeArrowheads="1"/>
        </xdr:cNvSpPr>
      </xdr:nvSpPr>
      <xdr:spPr>
        <a:xfrm>
          <a:off x="38100" y="2524125"/>
          <a:ext cx="4924425" cy="21717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Times New Roman"/>
              <a:ea typeface="Times New Roman"/>
              <a:cs typeface="Times New Roman"/>
            </a:rPr>
            <a:t>      </a:t>
          </a:r>
          <a:r>
            <a:rPr lang="en-US" cap="none" sz="1300" b="1" i="0" u="none" baseline="0">
              <a:latin typeface="Times New Roman"/>
              <a:ea typeface="Times New Roman"/>
              <a:cs typeface="Times New Roman"/>
            </a:rPr>
            <a:t>User-specified information is highlighted in </a:t>
          </a:r>
          <a:r>
            <a:rPr lang="en-US" cap="none" sz="1300" b="1" i="0" u="none" baseline="0">
              <a:solidFill>
                <a:srgbClr val="000000"/>
              </a:solidFill>
              <a:latin typeface="Times New Roman"/>
              <a:ea typeface="Times New Roman"/>
              <a:cs typeface="Times New Roman"/>
            </a:rPr>
            <a:t>yellow cells</a:t>
          </a:r>
          <a:r>
            <a:rPr lang="en-US" cap="none" sz="1300" b="1" i="0" u="none" baseline="0">
              <a:latin typeface="Times New Roman"/>
              <a:ea typeface="Times New Roman"/>
              <a:cs typeface="Times New Roman"/>
            </a:rPr>
            <a:t>.</a:t>
          </a:r>
          <a:r>
            <a:rPr lang="en-US" cap="none" sz="1100" b="1" i="0" u="none" baseline="0">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C</a:t>
          </a:r>
          <a:r>
            <a:rPr lang="en-US" cap="none" sz="1200" b="1" i="0" u="none" baseline="-25000">
              <a:solidFill>
                <a:srgbClr val="0000FF"/>
              </a:solidFill>
              <a:latin typeface="Times New Roman"/>
              <a:ea typeface="Times New Roman"/>
              <a:cs typeface="Times New Roman"/>
            </a:rPr>
            <a:t>0</a:t>
          </a:r>
          <a:r>
            <a:rPr lang="en-US" cap="none" sz="1200" b="1" i="0" u="none" baseline="0">
              <a:solidFill>
                <a:srgbClr val="0000FF"/>
              </a:solidFill>
              <a:latin typeface="Times New Roman"/>
              <a:ea typeface="Times New Roman"/>
              <a:cs typeface="Times New Roman"/>
            </a:rPr>
            <a:t> and Q</a:t>
          </a:r>
          <a:r>
            <a:rPr lang="en-US" cap="none" sz="1200" b="1" i="0" u="none" baseline="-25000">
              <a:solidFill>
                <a:srgbClr val="0000FF"/>
              </a:solidFill>
              <a:latin typeface="Times New Roman"/>
              <a:ea typeface="Times New Roman"/>
              <a:cs typeface="Times New Roman"/>
            </a:rPr>
            <a:t>0</a:t>
          </a:r>
          <a:r>
            <a:rPr lang="en-US" cap="none" sz="1100" b="1" i="0" u="none" baseline="0">
              <a:latin typeface="Times New Roman"/>
              <a:ea typeface="Times New Roman"/>
              <a:cs typeface="Times New Roman"/>
            </a:rPr>
            <a:t>. C</a:t>
          </a:r>
          <a:r>
            <a:rPr lang="en-US" cap="none" sz="1100" b="1" i="0" u="none" baseline="-25000">
              <a:latin typeface="Times New Roman"/>
              <a:ea typeface="Times New Roman"/>
              <a:cs typeface="Times New Roman"/>
            </a:rPr>
            <a:t>0</a:t>
          </a:r>
          <a:r>
            <a:rPr lang="en-US" cap="none" sz="1100" b="1" i="0" u="none" baseline="0">
              <a:latin typeface="Times New Roman"/>
              <a:ea typeface="Times New Roman"/>
              <a:cs typeface="Times New Roman"/>
            </a:rPr>
            <a:t> is the minimum long-run average cost, occurring at Q = Q</a:t>
          </a:r>
          <a:r>
            <a:rPr lang="en-US" cap="none" sz="1100" b="1" i="0" u="none" baseline="-25000">
              <a:latin typeface="Times New Roman"/>
              <a:ea typeface="Times New Roman"/>
              <a:cs typeface="Times New Roman"/>
            </a:rPr>
            <a:t>0</a:t>
          </a:r>
          <a:r>
            <a:rPr lang="en-US" cap="none" sz="1100" b="1" i="0" u="none" baseline="0">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Q</a:t>
          </a:r>
          <a:r>
            <a:rPr lang="en-US" cap="none" sz="1200" b="1" i="0" u="none" baseline="-25000">
              <a:solidFill>
                <a:srgbClr val="0000FF"/>
              </a:solidFill>
              <a:latin typeface="Times New Roman"/>
              <a:ea typeface="Times New Roman"/>
              <a:cs typeface="Times New Roman"/>
            </a:rPr>
            <a:t>1</a:t>
          </a:r>
          <a:r>
            <a:rPr lang="en-US" cap="none" sz="1100" b="1" i="0" u="none" baseline="0">
              <a:solidFill>
                <a:srgbClr val="000000"/>
              </a:solidFill>
              <a:latin typeface="Times New Roman"/>
              <a:ea typeface="Times New Roman"/>
              <a:cs typeface="Times New Roman"/>
            </a:rPr>
            <a:t>.</a:t>
          </a:r>
          <a:r>
            <a:rPr lang="en-US" cap="none" sz="1100" b="1" i="0" u="none" baseline="0">
              <a:latin typeface="Times New Roman"/>
              <a:ea typeface="Times New Roman"/>
              <a:cs typeface="Times New Roman"/>
            </a:rPr>
            <a:t> Q</a:t>
          </a:r>
          <a:r>
            <a:rPr lang="en-US" cap="none" sz="1100" b="1" i="0" u="none" baseline="-25000">
              <a:latin typeface="Times New Roman"/>
              <a:ea typeface="Times New Roman"/>
              <a:cs typeface="Times New Roman"/>
            </a:rPr>
            <a:t>1</a:t>
          </a:r>
          <a:r>
            <a:rPr lang="en-US" cap="none" sz="1100" b="1" i="0" u="none" baseline="0">
              <a:latin typeface="Times New Roman"/>
              <a:ea typeface="Times New Roman"/>
              <a:cs typeface="Times New Roman"/>
            </a:rPr>
            <a:t> is the quantity at which the long-run total cost curve and the short-run total cost are tangent.
</a:t>
          </a:r>
          <a:r>
            <a:rPr lang="en-US" cap="none" sz="1200" b="1" i="0" u="none" baseline="0">
              <a:solidFill>
                <a:srgbClr val="0000FF"/>
              </a:solidFill>
              <a:latin typeface="Times New Roman"/>
              <a:ea typeface="Times New Roman"/>
              <a:cs typeface="Times New Roman"/>
            </a:rPr>
            <a:t>P_intercept</a:t>
          </a:r>
          <a:r>
            <a:rPr lang="en-US" cap="none" sz="1100" b="1" i="0" u="none" baseline="0">
              <a:latin typeface="Times New Roman"/>
              <a:ea typeface="Times New Roman"/>
              <a:cs typeface="Times New Roman"/>
            </a:rPr>
            <a:t>. The price intercept for the demand curve facing a price-making firm. The slope is fixed at 0.4.
</a:t>
          </a:r>
          <a:r>
            <a:rPr lang="en-US" cap="none" sz="1200" b="1" i="0" u="none" baseline="0">
              <a:solidFill>
                <a:srgbClr val="0000FF"/>
              </a:solidFill>
              <a:latin typeface="Times New Roman"/>
              <a:ea typeface="Times New Roman"/>
              <a:cs typeface="Times New Roman"/>
            </a:rPr>
            <a:t>P</a:t>
          </a:r>
          <a:r>
            <a:rPr lang="en-US" cap="none" sz="1100" b="1" i="0" u="none" baseline="0">
              <a:solidFill>
                <a:srgbClr val="000000"/>
              </a:solidFill>
              <a:latin typeface="Times New Roman"/>
              <a:ea typeface="Times New Roman"/>
              <a:cs typeface="Times New Roman"/>
            </a:rPr>
            <a:t>.</a:t>
          </a:r>
          <a:r>
            <a:rPr lang="en-US" cap="none" sz="1100" b="1" i="0" u="none" baseline="0">
              <a:latin typeface="Times New Roman"/>
              <a:ea typeface="Times New Roman"/>
              <a:cs typeface="Times New Roman"/>
            </a:rPr>
            <a:t> The price for the price-taking firm.
</a:t>
          </a:r>
          <a:r>
            <a:rPr lang="en-US" cap="none" sz="1200" b="1" i="0" u="none" baseline="0">
              <a:solidFill>
                <a:srgbClr val="0000FF"/>
              </a:solidFill>
              <a:latin typeface="Times New Roman"/>
              <a:ea typeface="Times New Roman"/>
              <a:cs typeface="Times New Roman"/>
            </a:rPr>
            <a:t>Quantity increment</a:t>
          </a:r>
          <a:r>
            <a:rPr lang="en-US" cap="none" sz="1100" b="1" i="0" u="none" baseline="0">
              <a:solidFill>
                <a:srgbClr val="000000"/>
              </a:solidFill>
              <a:latin typeface="Times New Roman"/>
              <a:ea typeface="Times New Roman"/>
              <a:cs typeface="Times New Roman"/>
            </a:rPr>
            <a:t>.</a:t>
          </a:r>
          <a:r>
            <a:rPr lang="en-US" cap="none" sz="1100" b="1" i="0" u="none" baseline="0">
              <a:latin typeface="Times New Roman"/>
              <a:ea typeface="Times New Roman"/>
              <a:cs typeface="Times New Roman"/>
            </a:rPr>
            <a:t> Defines the increment between quantities and, by implication, the largest value for which values are reported.
Reset buttons on each sheet restore initial values.</a:t>
          </a:r>
          <a:r>
            <a:rPr lang="en-US" cap="none" sz="1100" b="0" i="0" u="none" baseline="0">
              <a:latin typeface="Times New Roman"/>
              <a:ea typeface="Times New Roman"/>
              <a:cs typeface="Times New Roman"/>
            </a:rPr>
            <a:t>.</a:t>
          </a:r>
          <a:r>
            <a:rPr lang="en-US" cap="none" sz="1100" b="0" i="0" u="none" baseline="0">
              <a:latin typeface="Times New Roman"/>
              <a:ea typeface="Times New Roman"/>
              <a:cs typeface="Times New Roman"/>
            </a:rPr>
            <a:t> 
</a:t>
          </a:r>
        </a:p>
      </xdr:txBody>
    </xdr:sp>
    <xdr:clientData/>
  </xdr:twoCellAnchor>
  <xdr:twoCellAnchor>
    <xdr:from>
      <xdr:col>5</xdr:col>
      <xdr:colOff>390525</xdr:colOff>
      <xdr:row>0</xdr:row>
      <xdr:rowOff>28575</xdr:rowOff>
    </xdr:from>
    <xdr:to>
      <xdr:col>8</xdr:col>
      <xdr:colOff>209550</xdr:colOff>
      <xdr:row>3</xdr:row>
      <xdr:rowOff>152400</xdr:rowOff>
    </xdr:to>
    <xdr:sp>
      <xdr:nvSpPr>
        <xdr:cNvPr id="4" name="TextBox 18"/>
        <xdr:cNvSpPr txBox="1">
          <a:spLocks noChangeArrowheads="1"/>
        </xdr:cNvSpPr>
      </xdr:nvSpPr>
      <xdr:spPr>
        <a:xfrm>
          <a:off x="3438525" y="28575"/>
          <a:ext cx="164782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Times New Roman"/>
              <a:ea typeface="Times New Roman"/>
              <a:cs typeface="Times New Roman"/>
            </a:rPr>
            <a:t>Navigation buttons</a:t>
          </a:r>
          <a:r>
            <a:rPr lang="en-US" cap="none" sz="1100" b="0" i="0" u="none" baseline="0">
              <a:latin typeface="Times New Roman"/>
              <a:ea typeface="Times New Roman"/>
              <a:cs typeface="Times New Roman"/>
            </a:rPr>
            <a:t> are below and on individual worksheets.</a:t>
          </a:r>
        </a:p>
      </xdr:txBody>
    </xdr:sp>
    <xdr:clientData/>
  </xdr:twoCellAnchor>
  <xdr:twoCellAnchor>
    <xdr:from>
      <xdr:col>8</xdr:col>
      <xdr:colOff>228600</xdr:colOff>
      <xdr:row>25</xdr:row>
      <xdr:rowOff>76200</xdr:rowOff>
    </xdr:from>
    <xdr:to>
      <xdr:col>14</xdr:col>
      <xdr:colOff>457200</xdr:colOff>
      <xdr:row>28</xdr:row>
      <xdr:rowOff>85725</xdr:rowOff>
    </xdr:to>
    <xdr:sp>
      <xdr:nvSpPr>
        <xdr:cNvPr id="5" name="TextBox 20"/>
        <xdr:cNvSpPr txBox="1">
          <a:spLocks noChangeArrowheads="1"/>
        </xdr:cNvSpPr>
      </xdr:nvSpPr>
      <xdr:spPr>
        <a:xfrm>
          <a:off x="5105400" y="4362450"/>
          <a:ext cx="38862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Times New Roman"/>
              <a:ea typeface="Times New Roman"/>
              <a:cs typeface="Times New Roman"/>
            </a:rPr>
            <a:t>Display is set for a screen area of 1024 x 768 pixels. If screen area is 800 x 600 adjust by setting Zoom = 75 percent.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19050</xdr:rowOff>
    </xdr:from>
    <xdr:to>
      <xdr:col>11</xdr:col>
      <xdr:colOff>476250</xdr:colOff>
      <xdr:row>24</xdr:row>
      <xdr:rowOff>47625</xdr:rowOff>
    </xdr:to>
    <xdr:graphicFrame>
      <xdr:nvGraphicFramePr>
        <xdr:cNvPr id="1" name="Chart 1"/>
        <xdr:cNvGraphicFramePr/>
      </xdr:nvGraphicFramePr>
      <xdr:xfrm>
        <a:off x="3505200" y="419100"/>
        <a:ext cx="4114800" cy="38004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438150</xdr:colOff>
      <xdr:row>50</xdr:row>
      <xdr:rowOff>28575</xdr:rowOff>
    </xdr:to>
    <xdr:sp>
      <xdr:nvSpPr>
        <xdr:cNvPr id="2" name="TextBox 8"/>
        <xdr:cNvSpPr txBox="1">
          <a:spLocks noChangeArrowheads="1"/>
        </xdr:cNvSpPr>
      </xdr:nvSpPr>
      <xdr:spPr>
        <a:xfrm>
          <a:off x="9525" y="6591300"/>
          <a:ext cx="7572375" cy="206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Revenue = P*Q = (intercept - 0.4Q)*Q.
Co is the minimum average cost. This value is attained at Q = Qo.
The user may wish to change the range on the vertical axis. For some large values of Co and of the demand intercept, pertinent values do not appear on the graph with the current axes. The range for the horizontal axis may be changed by using the scroll bar to change the increments in Q.</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xdr:row>
      <xdr:rowOff>104775</xdr:rowOff>
    </xdr:from>
    <xdr:to>
      <xdr:col>11</xdr:col>
      <xdr:colOff>476250</xdr:colOff>
      <xdr:row>24</xdr:row>
      <xdr:rowOff>9525</xdr:rowOff>
    </xdr:to>
    <xdr:graphicFrame>
      <xdr:nvGraphicFramePr>
        <xdr:cNvPr id="1" name="Chart 1"/>
        <xdr:cNvGraphicFramePr/>
      </xdr:nvGraphicFramePr>
      <xdr:xfrm>
        <a:off x="3429000" y="333375"/>
        <a:ext cx="4143375" cy="38481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438150</xdr:colOff>
      <xdr:row>43</xdr:row>
      <xdr:rowOff>57150</xdr:rowOff>
    </xdr:to>
    <xdr:sp>
      <xdr:nvSpPr>
        <xdr:cNvPr id="2" name="TextBox 5"/>
        <xdr:cNvSpPr txBox="1">
          <a:spLocks noChangeArrowheads="1"/>
        </xdr:cNvSpPr>
      </xdr:nvSpPr>
      <xdr:spPr>
        <a:xfrm>
          <a:off x="9525" y="6591300"/>
          <a:ext cx="752475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1</xdr:row>
      <xdr:rowOff>85725</xdr:rowOff>
    </xdr:from>
    <xdr:to>
      <xdr:col>12</xdr:col>
      <xdr:colOff>342900</xdr:colOff>
      <xdr:row>24</xdr:row>
      <xdr:rowOff>47625</xdr:rowOff>
    </xdr:to>
    <xdr:graphicFrame>
      <xdr:nvGraphicFramePr>
        <xdr:cNvPr id="1" name="Chart 1"/>
        <xdr:cNvGraphicFramePr/>
      </xdr:nvGraphicFramePr>
      <xdr:xfrm>
        <a:off x="3990975" y="314325"/>
        <a:ext cx="4038600" cy="39052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561975</xdr:colOff>
      <xdr:row>43</xdr:row>
      <xdr:rowOff>57150</xdr:rowOff>
    </xdr:to>
    <xdr:sp>
      <xdr:nvSpPr>
        <xdr:cNvPr id="2" name="TextBox 12"/>
        <xdr:cNvSpPr txBox="1">
          <a:spLocks noChangeArrowheads="1"/>
        </xdr:cNvSpPr>
      </xdr:nvSpPr>
      <xdr:spPr>
        <a:xfrm>
          <a:off x="9525" y="6591300"/>
          <a:ext cx="762952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1</xdr:row>
      <xdr:rowOff>152400</xdr:rowOff>
    </xdr:from>
    <xdr:to>
      <xdr:col>13</xdr:col>
      <xdr:colOff>66675</xdr:colOff>
      <xdr:row>24</xdr:row>
      <xdr:rowOff>9525</xdr:rowOff>
    </xdr:to>
    <xdr:graphicFrame>
      <xdr:nvGraphicFramePr>
        <xdr:cNvPr id="1" name="Chart 1"/>
        <xdr:cNvGraphicFramePr/>
      </xdr:nvGraphicFramePr>
      <xdr:xfrm>
        <a:off x="3762375" y="381000"/>
        <a:ext cx="4438650" cy="38004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438150</xdr:colOff>
      <xdr:row>50</xdr:row>
      <xdr:rowOff>28575</xdr:rowOff>
    </xdr:to>
    <xdr:sp>
      <xdr:nvSpPr>
        <xdr:cNvPr id="2" name="TextBox 8"/>
        <xdr:cNvSpPr txBox="1">
          <a:spLocks noChangeArrowheads="1"/>
        </xdr:cNvSpPr>
      </xdr:nvSpPr>
      <xdr:spPr>
        <a:xfrm>
          <a:off x="9525" y="6591300"/>
          <a:ext cx="7343775" cy="206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Revenue = P*Q = (intercept - 0.4Q)*Q.
Co is the minimum average cost. This value is attained at Q = Qo.
The user may wish to change the range on the vertical axis. For some large values of Co and of the demand intercept, pertinent values do not appear on the graph with the current axes. The range for the horizontal axis may be changed by using the scroll bar to change the increments in Q.</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xdr:row>
      <xdr:rowOff>9525</xdr:rowOff>
    </xdr:from>
    <xdr:to>
      <xdr:col>11</xdr:col>
      <xdr:colOff>561975</xdr:colOff>
      <xdr:row>24</xdr:row>
      <xdr:rowOff>85725</xdr:rowOff>
    </xdr:to>
    <xdr:graphicFrame>
      <xdr:nvGraphicFramePr>
        <xdr:cNvPr id="1" name="Chart 1"/>
        <xdr:cNvGraphicFramePr/>
      </xdr:nvGraphicFramePr>
      <xdr:xfrm>
        <a:off x="3476625" y="409575"/>
        <a:ext cx="4143375" cy="38481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438150</xdr:colOff>
      <xdr:row>43</xdr:row>
      <xdr:rowOff>57150</xdr:rowOff>
    </xdr:to>
    <xdr:sp>
      <xdr:nvSpPr>
        <xdr:cNvPr id="2" name="TextBox 5"/>
        <xdr:cNvSpPr txBox="1">
          <a:spLocks noChangeArrowheads="1"/>
        </xdr:cNvSpPr>
      </xdr:nvSpPr>
      <xdr:spPr>
        <a:xfrm>
          <a:off x="9525" y="6591300"/>
          <a:ext cx="748665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11</xdr:col>
      <xdr:colOff>409575</xdr:colOff>
      <xdr:row>24</xdr:row>
      <xdr:rowOff>161925</xdr:rowOff>
    </xdr:to>
    <xdr:graphicFrame>
      <xdr:nvGraphicFramePr>
        <xdr:cNvPr id="1" name="Chart 1"/>
        <xdr:cNvGraphicFramePr/>
      </xdr:nvGraphicFramePr>
      <xdr:xfrm>
        <a:off x="3419475" y="428625"/>
        <a:ext cx="4038600" cy="39052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561975</xdr:colOff>
      <xdr:row>43</xdr:row>
      <xdr:rowOff>57150</xdr:rowOff>
    </xdr:to>
    <xdr:sp>
      <xdr:nvSpPr>
        <xdr:cNvPr id="2" name="TextBox 5"/>
        <xdr:cNvSpPr txBox="1">
          <a:spLocks noChangeArrowheads="1"/>
        </xdr:cNvSpPr>
      </xdr:nvSpPr>
      <xdr:spPr>
        <a:xfrm>
          <a:off x="9525" y="6591300"/>
          <a:ext cx="760095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15</xdr:row>
      <xdr:rowOff>57150</xdr:rowOff>
    </xdr:from>
    <xdr:to>
      <xdr:col>14</xdr:col>
      <xdr:colOff>238125</xdr:colOff>
      <xdr:row>29</xdr:row>
      <xdr:rowOff>47625</xdr:rowOff>
    </xdr:to>
    <xdr:graphicFrame>
      <xdr:nvGraphicFramePr>
        <xdr:cNvPr id="1" name="Chart 1"/>
        <xdr:cNvGraphicFramePr/>
      </xdr:nvGraphicFramePr>
      <xdr:xfrm>
        <a:off x="4362450" y="2552700"/>
        <a:ext cx="4733925" cy="2257425"/>
      </xdr:xfrm>
      <a:graphic>
        <a:graphicData uri="http://schemas.openxmlformats.org/drawingml/2006/chart">
          <c:chart xmlns:c="http://schemas.openxmlformats.org/drawingml/2006/chart" r:id="rId1"/>
        </a:graphicData>
      </a:graphic>
    </xdr:graphicFrame>
    <xdr:clientData/>
  </xdr:twoCellAnchor>
  <xdr:twoCellAnchor>
    <xdr:from>
      <xdr:col>6</xdr:col>
      <xdr:colOff>409575</xdr:colOff>
      <xdr:row>1</xdr:row>
      <xdr:rowOff>38100</xdr:rowOff>
    </xdr:from>
    <xdr:to>
      <xdr:col>14</xdr:col>
      <xdr:colOff>190500</xdr:colOff>
      <xdr:row>15</xdr:row>
      <xdr:rowOff>19050</xdr:rowOff>
    </xdr:to>
    <xdr:graphicFrame>
      <xdr:nvGraphicFramePr>
        <xdr:cNvPr id="2" name="Chart 2"/>
        <xdr:cNvGraphicFramePr/>
      </xdr:nvGraphicFramePr>
      <xdr:xfrm>
        <a:off x="4391025" y="228600"/>
        <a:ext cx="4657725" cy="2286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B51"/>
  <sheetViews>
    <sheetView tabSelected="1" workbookViewId="0" topLeftCell="A1">
      <selection activeCell="A1" sqref="A1"/>
    </sheetView>
  </sheetViews>
  <sheetFormatPr defaultColWidth="9.140625" defaultRowHeight="15"/>
  <sheetData>
    <row r="1" spans="1:28" ht="13.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28" ht="13.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row>
    <row r="3" spans="1:28" ht="13.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row>
    <row r="4" spans="1:28" ht="13.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5" spans="1:28" ht="13.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row>
    <row r="6" spans="1:28" ht="13.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row>
    <row r="7" spans="1:28" ht="13.5"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row>
    <row r="8" spans="1:28" ht="13.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row>
    <row r="9" spans="1:28" ht="13.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row>
    <row r="10" spans="1:28" ht="13.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row>
    <row r="11" spans="1:28" ht="13.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row>
    <row r="12" spans="1:28" ht="13.5"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row>
    <row r="13" spans="1:28" ht="13.5"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row>
    <row r="14" spans="1:28" ht="13.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row>
    <row r="15" spans="1:28" ht="13.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row>
    <row r="16" spans="1:28" ht="13.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row>
    <row r="17" spans="1:28" ht="13.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row>
    <row r="18" spans="1:28" ht="13.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row>
    <row r="19" spans="1:28" ht="13.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row>
    <row r="20" spans="1:28" ht="13.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row>
    <row r="21" spans="1:28" ht="13.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row>
    <row r="22" spans="1:28" ht="13.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row>
    <row r="23" spans="1:28" ht="13.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row>
    <row r="24" spans="1:28" ht="13.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ht="13.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row>
    <row r="26" spans="1:28" ht="13.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row>
    <row r="27" spans="1:28" ht="13.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row>
    <row r="28" spans="1:28" ht="13.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row>
    <row r="29" spans="1:28" ht="13.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row>
    <row r="30" spans="1:28" ht="13.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row>
    <row r="31" spans="1:28" ht="1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row>
    <row r="32" spans="1:28" ht="1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row>
    <row r="33" spans="1:28" ht="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row>
    <row r="34" spans="1:28" ht="1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row>
    <row r="35" spans="1:28" ht="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row>
    <row r="36" spans="1:28" ht="1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row>
    <row r="37" spans="1:28" ht="1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row>
    <row r="38" spans="1:28" ht="1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row>
    <row r="39" spans="1:28" ht="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row>
    <row r="40" spans="1:28" ht="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row>
    <row r="41" spans="1:28" ht="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row>
    <row r="42" spans="1:28" ht="1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row>
    <row r="43" spans="1:28" ht="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row>
    <row r="44" spans="1:28" ht="1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row>
    <row r="45" spans="1:28" ht="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row>
    <row r="46" spans="1:28" ht="1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row>
    <row r="47" spans="1:28" ht="1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row>
    <row r="48" spans="1:28" ht="1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row>
    <row r="49" spans="1:28" ht="1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row>
    <row r="50" spans="1:28" ht="1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1:28" ht="1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row>
  </sheetData>
  <printOptions/>
  <pageMargins left="0.25" right="0.25" top="1" bottom="1" header="0.5" footer="0.5"/>
  <pageSetup horizontalDpi="600" verticalDpi="600" orientation="landscape"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AS75"/>
  <sheetViews>
    <sheetView workbookViewId="0" topLeftCell="A1">
      <selection activeCell="A1" sqref="A1:F1"/>
    </sheetView>
  </sheetViews>
  <sheetFormatPr defaultColWidth="9.140625" defaultRowHeight="15"/>
  <cols>
    <col min="1" max="1" width="10.8515625" style="0" customWidth="1"/>
    <col min="2" max="3" width="9.8515625" style="0" bestFit="1" customWidth="1"/>
    <col min="4" max="4" width="12.57421875" style="0" customWidth="1"/>
    <col min="33" max="33" width="11.00390625" style="0" bestFit="1" customWidth="1"/>
  </cols>
  <sheetData>
    <row r="1" spans="1:45" s="2" customFormat="1" ht="18" customHeight="1">
      <c r="A1" s="84" t="s">
        <v>85</v>
      </c>
      <c r="B1" s="84"/>
      <c r="C1" s="84"/>
      <c r="D1" s="84"/>
      <c r="E1" s="84"/>
      <c r="F1" s="84"/>
      <c r="G1" s="36"/>
      <c r="H1" s="36"/>
      <c r="I1" s="36"/>
      <c r="J1" s="36"/>
      <c r="K1" s="36"/>
      <c r="L1" s="36"/>
      <c r="M1" s="36"/>
      <c r="N1" s="36"/>
      <c r="O1" s="36"/>
      <c r="P1" s="36"/>
      <c r="Q1" s="36"/>
      <c r="R1" s="36"/>
      <c r="S1" s="36"/>
      <c r="T1" s="36"/>
      <c r="U1" s="36"/>
      <c r="V1" s="36"/>
      <c r="W1" s="36"/>
      <c r="X1" s="36"/>
      <c r="Y1" s="36"/>
      <c r="Z1" s="36"/>
      <c r="AA1" s="65" t="s">
        <v>29</v>
      </c>
      <c r="AB1" s="66" t="s">
        <v>5</v>
      </c>
      <c r="AC1" s="66" t="s">
        <v>7</v>
      </c>
      <c r="AD1" s="66" t="s">
        <v>10</v>
      </c>
      <c r="AE1" s="66" t="s">
        <v>30</v>
      </c>
      <c r="AF1" s="66" t="s">
        <v>31</v>
      </c>
      <c r="AG1" s="67" t="s">
        <v>32</v>
      </c>
      <c r="AH1" s="4"/>
      <c r="AI1" s="4" t="s">
        <v>13</v>
      </c>
      <c r="AJ1" s="4">
        <f>C4/(3*C3)</f>
        <v>0.20833333333333334</v>
      </c>
      <c r="AK1" s="4" t="s">
        <v>14</v>
      </c>
      <c r="AL1" s="4"/>
      <c r="AM1" s="4"/>
      <c r="AN1" s="4"/>
      <c r="AO1" s="4"/>
      <c r="AP1" s="4"/>
      <c r="AQ1" s="4"/>
      <c r="AR1" s="4"/>
      <c r="AS1" s="4"/>
    </row>
    <row r="2" spans="1:45" s="2" customFormat="1" ht="13.5" customHeight="1">
      <c r="A2" s="36"/>
      <c r="B2" s="36"/>
      <c r="C2" s="36"/>
      <c r="D2" s="37"/>
      <c r="E2" s="38"/>
      <c r="F2" s="36"/>
      <c r="G2" s="36"/>
      <c r="H2" s="36"/>
      <c r="I2" s="36"/>
      <c r="J2" s="36"/>
      <c r="K2" s="36"/>
      <c r="L2" s="36"/>
      <c r="M2" s="36"/>
      <c r="N2" s="36"/>
      <c r="O2" s="36"/>
      <c r="P2" s="36"/>
      <c r="Q2" s="36"/>
      <c r="R2" s="36"/>
      <c r="S2" s="36"/>
      <c r="T2" s="36"/>
      <c r="U2" s="36"/>
      <c r="V2" s="36"/>
      <c r="W2" s="36"/>
      <c r="X2" s="36"/>
      <c r="Y2" s="36"/>
      <c r="Z2" s="36"/>
      <c r="AA2" s="39">
        <v>0</v>
      </c>
      <c r="AB2" s="40">
        <f aca="true" t="shared" si="0" ref="AB2:AB33">AJ$1*AA2^2+AJ$2*AA2^0.5</f>
        <v>0</v>
      </c>
      <c r="AC2" s="40"/>
      <c r="AD2" s="40"/>
      <c r="AE2" s="40">
        <f aca="true" t="shared" si="1" ref="AE2:AE33">($C$5-0.4*AA2)*AA2</f>
        <v>0</v>
      </c>
      <c r="AF2" s="40">
        <f aca="true" t="shared" si="2" ref="AF2:AF33">AE2-AB2</f>
        <v>0</v>
      </c>
      <c r="AG2" s="41">
        <f aca="true" t="shared" si="3" ref="AG2:AG33">IF(AF2=AF$56,10000,-1000000)</f>
        <v>-1000000</v>
      </c>
      <c r="AH2" s="4"/>
      <c r="AI2" s="4" t="s">
        <v>15</v>
      </c>
      <c r="AJ2" s="4">
        <f>(C4-AJ1*C3)*C3^0.5</f>
        <v>298.14239699997194</v>
      </c>
      <c r="AK2" s="4" t="s">
        <v>16</v>
      </c>
      <c r="AL2" s="4"/>
      <c r="AM2" s="4"/>
      <c r="AN2" s="4"/>
      <c r="AO2" s="4"/>
      <c r="AP2" s="4"/>
      <c r="AQ2" s="4"/>
      <c r="AR2" s="4"/>
      <c r="AS2" s="4"/>
    </row>
    <row r="3" spans="1:45" s="2" customFormat="1" ht="13.5" customHeight="1">
      <c r="A3" s="74" t="s">
        <v>67</v>
      </c>
      <c r="B3" s="74"/>
      <c r="C3" s="60">
        <v>80</v>
      </c>
      <c r="D3" s="37"/>
      <c r="E3" s="38"/>
      <c r="F3" s="36"/>
      <c r="G3" s="36"/>
      <c r="H3" s="36"/>
      <c r="I3" s="36"/>
      <c r="J3" s="36"/>
      <c r="K3" s="36"/>
      <c r="L3" s="36"/>
      <c r="M3" s="36"/>
      <c r="N3" s="36"/>
      <c r="O3" s="36"/>
      <c r="P3" s="36"/>
      <c r="Q3" s="36"/>
      <c r="R3" s="36"/>
      <c r="S3" s="36"/>
      <c r="T3" s="36"/>
      <c r="U3" s="36"/>
      <c r="V3" s="36"/>
      <c r="W3" s="36"/>
      <c r="X3" s="36"/>
      <c r="Y3" s="36"/>
      <c r="Z3" s="36"/>
      <c r="AA3" s="39">
        <f aca="true" t="shared" si="4" ref="AA3:AA22">AA2+0.25</f>
        <v>0.25</v>
      </c>
      <c r="AB3" s="40">
        <f t="shared" si="0"/>
        <v>149.0842193333193</v>
      </c>
      <c r="AC3" s="40">
        <f aca="true" t="shared" si="5" ref="AC3:AC34">2*AJ$1*AA3+0.5*AJ$2*AA3^-0.5</f>
        <v>298.2465636666386</v>
      </c>
      <c r="AD3" s="40">
        <f aca="true" t="shared" si="6" ref="AD3:AD34">AJ$1*AA3+AJ$2*AA3^-0.5</f>
        <v>596.3368773332772</v>
      </c>
      <c r="AE3" s="40">
        <f t="shared" si="1"/>
        <v>24.975</v>
      </c>
      <c r="AF3" s="40">
        <f t="shared" si="2"/>
        <v>-124.10921933331932</v>
      </c>
      <c r="AG3" s="41">
        <f t="shared" si="3"/>
        <v>-1000000</v>
      </c>
      <c r="AH3" s="4"/>
      <c r="AI3" s="4"/>
      <c r="AJ3" s="4"/>
      <c r="AK3" s="4"/>
      <c r="AL3" s="4"/>
      <c r="AM3" s="4"/>
      <c r="AN3" s="4"/>
      <c r="AO3" s="4"/>
      <c r="AP3" s="4"/>
      <c r="AQ3" s="4"/>
      <c r="AR3" s="4"/>
      <c r="AS3" s="4"/>
    </row>
    <row r="4" spans="1:45" s="2" customFormat="1" ht="13.5" customHeight="1">
      <c r="A4" s="74" t="s">
        <v>11</v>
      </c>
      <c r="B4" s="74"/>
      <c r="C4" s="61">
        <v>50</v>
      </c>
      <c r="D4" s="37"/>
      <c r="E4" s="38"/>
      <c r="F4" s="36"/>
      <c r="G4" s="36"/>
      <c r="H4" s="36"/>
      <c r="I4" s="36"/>
      <c r="J4" s="36"/>
      <c r="K4" s="36"/>
      <c r="L4" s="36"/>
      <c r="M4" s="36"/>
      <c r="N4" s="36"/>
      <c r="O4" s="36"/>
      <c r="P4" s="36"/>
      <c r="Q4" s="36"/>
      <c r="R4" s="36"/>
      <c r="S4" s="36"/>
      <c r="T4" s="36"/>
      <c r="U4" s="36"/>
      <c r="V4" s="36"/>
      <c r="W4" s="36"/>
      <c r="X4" s="36"/>
      <c r="Y4" s="36"/>
      <c r="Z4" s="36"/>
      <c r="AA4" s="39">
        <f t="shared" si="4"/>
        <v>0.5</v>
      </c>
      <c r="AB4" s="40">
        <f t="shared" si="0"/>
        <v>210.8705940112253</v>
      </c>
      <c r="AC4" s="40">
        <f t="shared" si="5"/>
        <v>211.02684401122525</v>
      </c>
      <c r="AD4" s="40">
        <f t="shared" si="6"/>
        <v>421.7411880224505</v>
      </c>
      <c r="AE4" s="40">
        <f t="shared" si="1"/>
        <v>49.9</v>
      </c>
      <c r="AF4" s="40">
        <f t="shared" si="2"/>
        <v>-160.9705940112253</v>
      </c>
      <c r="AG4" s="41">
        <f t="shared" si="3"/>
        <v>-1000000</v>
      </c>
      <c r="AH4" s="4"/>
      <c r="AI4" s="4"/>
      <c r="AJ4" s="4" t="s">
        <v>33</v>
      </c>
      <c r="AK4" s="4"/>
      <c r="AL4" s="4"/>
      <c r="AM4" s="4"/>
      <c r="AN4" s="4"/>
      <c r="AO4" s="4"/>
      <c r="AP4" s="4"/>
      <c r="AQ4" s="4"/>
      <c r="AR4" s="4"/>
      <c r="AS4" s="4"/>
    </row>
    <row r="5" spans="1:45" s="2" customFormat="1" ht="13.5" customHeight="1">
      <c r="A5" s="74" t="s">
        <v>66</v>
      </c>
      <c r="B5" s="74"/>
      <c r="C5" s="61">
        <v>100</v>
      </c>
      <c r="D5" s="37"/>
      <c r="E5" s="38"/>
      <c r="F5" s="36"/>
      <c r="G5" s="36"/>
      <c r="H5" s="36"/>
      <c r="I5" s="36"/>
      <c r="J5" s="36"/>
      <c r="K5" s="36"/>
      <c r="L5" s="36"/>
      <c r="M5" s="36"/>
      <c r="N5" s="36"/>
      <c r="O5" s="36"/>
      <c r="P5" s="36"/>
      <c r="Q5" s="36"/>
      <c r="R5" s="36"/>
      <c r="S5" s="36"/>
      <c r="T5" s="36"/>
      <c r="U5" s="36"/>
      <c r="V5" s="36"/>
      <c r="W5" s="36"/>
      <c r="X5" s="36"/>
      <c r="Y5" s="36"/>
      <c r="Z5" s="36"/>
      <c r="AA5" s="39">
        <f t="shared" si="4"/>
        <v>0.75</v>
      </c>
      <c r="AB5" s="40">
        <f t="shared" si="0"/>
        <v>258.3160772471611</v>
      </c>
      <c r="AC5" s="40">
        <f t="shared" si="5"/>
        <v>172.4450931647741</v>
      </c>
      <c r="AD5" s="40">
        <f t="shared" si="6"/>
        <v>344.4214363295482</v>
      </c>
      <c r="AE5" s="40">
        <f t="shared" si="1"/>
        <v>74.775</v>
      </c>
      <c r="AF5" s="40">
        <f t="shared" si="2"/>
        <v>-183.5410772471611</v>
      </c>
      <c r="AG5" s="41">
        <f t="shared" si="3"/>
        <v>-1000000</v>
      </c>
      <c r="AH5" s="4"/>
      <c r="AI5" s="4"/>
      <c r="AJ5" s="4">
        <f>(C$5+SQRT(C$5^2-3*AJ$1*AJ$2))/(3*AJ$1)</f>
        <v>318.5022781060261</v>
      </c>
      <c r="AK5" s="4" t="s">
        <v>34</v>
      </c>
      <c r="AL5" s="4"/>
      <c r="AM5" s="4">
        <f>SQRT(AJ5)</f>
        <v>17.8466321222248</v>
      </c>
      <c r="AN5" s="4"/>
      <c r="AO5" s="4"/>
      <c r="AP5" s="4"/>
      <c r="AQ5" s="4"/>
      <c r="AR5" s="4"/>
      <c r="AS5" s="4"/>
    </row>
    <row r="6" spans="1:45" s="2" customFormat="1" ht="13.5" customHeight="1">
      <c r="A6" s="74" t="s">
        <v>24</v>
      </c>
      <c r="B6" s="74"/>
      <c r="C6" s="60">
        <v>4</v>
      </c>
      <c r="D6" s="43"/>
      <c r="E6" s="38"/>
      <c r="F6" s="36"/>
      <c r="G6" s="36"/>
      <c r="H6" s="36"/>
      <c r="I6" s="36"/>
      <c r="J6" s="36"/>
      <c r="K6" s="36"/>
      <c r="L6" s="36"/>
      <c r="M6" s="36"/>
      <c r="N6" s="36"/>
      <c r="O6" s="36"/>
      <c r="P6" s="36"/>
      <c r="Q6" s="36"/>
      <c r="R6" s="36"/>
      <c r="S6" s="36"/>
      <c r="T6" s="36"/>
      <c r="U6" s="36"/>
      <c r="V6" s="36"/>
      <c r="W6" s="36"/>
      <c r="X6" s="36"/>
      <c r="Y6" s="36"/>
      <c r="Z6" s="36"/>
      <c r="AA6" s="39">
        <f t="shared" si="4"/>
        <v>1</v>
      </c>
      <c r="AB6" s="40">
        <f t="shared" si="0"/>
        <v>298.35073033330525</v>
      </c>
      <c r="AC6" s="40">
        <f t="shared" si="5"/>
        <v>149.48786516665263</v>
      </c>
      <c r="AD6" s="40">
        <f t="shared" si="6"/>
        <v>298.35073033330525</v>
      </c>
      <c r="AE6" s="40">
        <f t="shared" si="1"/>
        <v>99.6</v>
      </c>
      <c r="AF6" s="40">
        <f t="shared" si="2"/>
        <v>-198.75073033330526</v>
      </c>
      <c r="AG6" s="41">
        <f t="shared" si="3"/>
        <v>-1000000</v>
      </c>
      <c r="AH6" s="4"/>
      <c r="AI6" s="4"/>
      <c r="AJ6" s="4">
        <f>(C$5-SQRT(C$5^2-3*AJ$1*AJ$2))/(3*AJ$1)</f>
        <v>1.4977218939738806</v>
      </c>
      <c r="AK6" s="4"/>
      <c r="AL6" s="4"/>
      <c r="AM6" s="4">
        <f>SQRT(AJ6)</f>
        <v>1.223814485113606</v>
      </c>
      <c r="AN6" s="4"/>
      <c r="AO6" s="4"/>
      <c r="AP6" s="4"/>
      <c r="AQ6" s="4"/>
      <c r="AR6" s="4"/>
      <c r="AS6" s="4"/>
    </row>
    <row r="7" spans="1:45" s="2" customFormat="1" ht="13.5" customHeight="1">
      <c r="A7" s="73" t="s">
        <v>71</v>
      </c>
      <c r="B7" s="73"/>
      <c r="C7" s="55">
        <f>AF56</f>
        <v>1527.1682505324393</v>
      </c>
      <c r="D7" s="43"/>
      <c r="E7" s="38"/>
      <c r="F7" s="36"/>
      <c r="G7" s="36"/>
      <c r="H7" s="36"/>
      <c r="I7" s="36"/>
      <c r="J7" s="36"/>
      <c r="K7" s="36"/>
      <c r="L7" s="36"/>
      <c r="M7" s="36"/>
      <c r="N7" s="36"/>
      <c r="O7" s="36"/>
      <c r="P7" s="36"/>
      <c r="Q7" s="36"/>
      <c r="R7" s="36"/>
      <c r="S7" s="36"/>
      <c r="T7" s="36"/>
      <c r="U7" s="36"/>
      <c r="V7" s="36"/>
      <c r="W7" s="36"/>
      <c r="X7" s="36"/>
      <c r="Y7" s="36"/>
      <c r="Z7" s="36"/>
      <c r="AA7" s="39">
        <f t="shared" si="4"/>
        <v>1.25</v>
      </c>
      <c r="AB7" s="40">
        <f t="shared" si="0"/>
        <v>333.65885416666663</v>
      </c>
      <c r="AC7" s="40">
        <f t="shared" si="5"/>
        <v>133.85416666666666</v>
      </c>
      <c r="AD7" s="40">
        <f t="shared" si="6"/>
        <v>266.9270833333333</v>
      </c>
      <c r="AE7" s="40">
        <f t="shared" si="1"/>
        <v>124.375</v>
      </c>
      <c r="AF7" s="40">
        <f t="shared" si="2"/>
        <v>-209.28385416666663</v>
      </c>
      <c r="AG7" s="41">
        <f t="shared" si="3"/>
        <v>-1000000</v>
      </c>
      <c r="AH7" s="4"/>
      <c r="AI7" s="4"/>
      <c r="AJ7" s="4"/>
      <c r="AK7" s="4"/>
      <c r="AL7" s="4"/>
      <c r="AM7" s="4"/>
      <c r="AN7" s="4"/>
      <c r="AO7" s="4"/>
      <c r="AP7" s="4"/>
      <c r="AQ7" s="4"/>
      <c r="AR7" s="4"/>
      <c r="AS7" s="4"/>
    </row>
    <row r="8" spans="1:45" s="2" customFormat="1" ht="13.5" customHeight="1">
      <c r="A8" s="35"/>
      <c r="B8" s="35"/>
      <c r="C8" s="35"/>
      <c r="D8" s="36"/>
      <c r="E8" s="38"/>
      <c r="F8" s="36"/>
      <c r="G8" s="36"/>
      <c r="H8" s="36"/>
      <c r="I8" s="36"/>
      <c r="J8" s="36"/>
      <c r="K8" s="36"/>
      <c r="L8" s="36"/>
      <c r="M8" s="36"/>
      <c r="N8" s="36"/>
      <c r="O8" s="36"/>
      <c r="P8" s="36"/>
      <c r="Q8" s="36"/>
      <c r="R8" s="36"/>
      <c r="S8" s="36"/>
      <c r="T8" s="36"/>
      <c r="U8" s="36"/>
      <c r="V8" s="36"/>
      <c r="W8" s="36"/>
      <c r="X8" s="36"/>
      <c r="Y8" s="36"/>
      <c r="Z8" s="36"/>
      <c r="AA8" s="39">
        <f t="shared" si="4"/>
        <v>1.5</v>
      </c>
      <c r="AB8" s="40">
        <f t="shared" si="0"/>
        <v>365.6171216701107</v>
      </c>
      <c r="AC8" s="40">
        <f t="shared" si="5"/>
        <v>122.34112389003693</v>
      </c>
      <c r="AD8" s="40">
        <f t="shared" si="6"/>
        <v>243.74474778007385</v>
      </c>
      <c r="AE8" s="40">
        <f t="shared" si="1"/>
        <v>149.10000000000002</v>
      </c>
      <c r="AF8" s="40">
        <f t="shared" si="2"/>
        <v>-216.51712167011067</v>
      </c>
      <c r="AG8" s="41">
        <f t="shared" si="3"/>
        <v>-1000000</v>
      </c>
      <c r="AH8" s="4"/>
      <c r="AI8" s="4"/>
      <c r="AJ8" s="4"/>
      <c r="AK8" s="4"/>
      <c r="AL8" s="4"/>
      <c r="AM8" s="4"/>
      <c r="AN8" s="4"/>
      <c r="AO8" s="4"/>
      <c r="AP8" s="4"/>
      <c r="AQ8" s="4"/>
      <c r="AR8" s="4"/>
      <c r="AS8" s="4"/>
    </row>
    <row r="9" spans="1:45" s="2" customFormat="1" ht="13.5" customHeight="1">
      <c r="A9" s="35"/>
      <c r="B9" s="35"/>
      <c r="C9" s="35"/>
      <c r="D9" s="36"/>
      <c r="E9" s="38"/>
      <c r="F9" s="36"/>
      <c r="G9" s="36"/>
      <c r="H9" s="36"/>
      <c r="I9" s="36"/>
      <c r="J9" s="36"/>
      <c r="K9" s="36"/>
      <c r="L9" s="36"/>
      <c r="M9" s="36"/>
      <c r="N9" s="36"/>
      <c r="O9" s="36"/>
      <c r="P9" s="36"/>
      <c r="Q9" s="36"/>
      <c r="R9" s="36"/>
      <c r="S9" s="36"/>
      <c r="T9" s="36"/>
      <c r="U9" s="36"/>
      <c r="V9" s="36"/>
      <c r="W9" s="36"/>
      <c r="X9" s="36"/>
      <c r="Y9" s="36"/>
      <c r="Z9" s="36"/>
      <c r="AA9" s="39">
        <f t="shared" si="4"/>
        <v>1.75</v>
      </c>
      <c r="AB9" s="40">
        <f t="shared" si="0"/>
        <v>395.04333970664106</v>
      </c>
      <c r="AC9" s="40">
        <f t="shared" si="5"/>
        <v>113.41640063046886</v>
      </c>
      <c r="AD9" s="40">
        <f t="shared" si="6"/>
        <v>225.7390512609377</v>
      </c>
      <c r="AE9" s="40">
        <f t="shared" si="1"/>
        <v>173.775</v>
      </c>
      <c r="AF9" s="40">
        <f t="shared" si="2"/>
        <v>-221.26833970664106</v>
      </c>
      <c r="AG9" s="41">
        <f t="shared" si="3"/>
        <v>-1000000</v>
      </c>
      <c r="AH9" s="4"/>
      <c r="AI9" s="4"/>
      <c r="AJ9" s="4"/>
      <c r="AK9" s="4"/>
      <c r="AL9" s="4"/>
      <c r="AM9" s="4"/>
      <c r="AN9" s="4"/>
      <c r="AO9" s="4"/>
      <c r="AP9" s="4"/>
      <c r="AQ9" s="4"/>
      <c r="AR9" s="4"/>
      <c r="AS9" s="4"/>
    </row>
    <row r="10" spans="1:45" s="2" customFormat="1" ht="13.5" customHeight="1">
      <c r="A10" s="35"/>
      <c r="B10" s="35"/>
      <c r="C10" s="35"/>
      <c r="D10" s="35"/>
      <c r="E10" s="38"/>
      <c r="F10" s="36"/>
      <c r="G10" s="36"/>
      <c r="H10" s="36"/>
      <c r="I10" s="36"/>
      <c r="J10" s="36"/>
      <c r="K10" s="36"/>
      <c r="L10" s="36"/>
      <c r="M10" s="36"/>
      <c r="N10" s="36"/>
      <c r="O10" s="36"/>
      <c r="P10" s="36"/>
      <c r="Q10" s="36"/>
      <c r="R10" s="36"/>
      <c r="S10" s="36"/>
      <c r="T10" s="36"/>
      <c r="U10" s="36"/>
      <c r="V10" s="36"/>
      <c r="W10" s="36"/>
      <c r="X10" s="36"/>
      <c r="Y10" s="36"/>
      <c r="Z10" s="36"/>
      <c r="AA10" s="39">
        <f t="shared" si="4"/>
        <v>2</v>
      </c>
      <c r="AB10" s="40">
        <f t="shared" si="0"/>
        <v>422.47035468911724</v>
      </c>
      <c r="AC10" s="40">
        <f t="shared" si="5"/>
        <v>106.24258867227928</v>
      </c>
      <c r="AD10" s="40">
        <f t="shared" si="6"/>
        <v>211.23517734455856</v>
      </c>
      <c r="AE10" s="40">
        <f t="shared" si="1"/>
        <v>198.4</v>
      </c>
      <c r="AF10" s="40">
        <f t="shared" si="2"/>
        <v>-224.07035468911724</v>
      </c>
      <c r="AG10" s="41">
        <f t="shared" si="3"/>
        <v>-1000000</v>
      </c>
      <c r="AH10" s="4"/>
      <c r="AI10" s="4"/>
      <c r="AJ10" s="4"/>
      <c r="AK10" s="4"/>
      <c r="AL10" s="4"/>
      <c r="AM10" s="4"/>
      <c r="AN10" s="4"/>
      <c r="AO10" s="4"/>
      <c r="AP10" s="4"/>
      <c r="AQ10" s="4"/>
      <c r="AR10" s="4"/>
      <c r="AS10" s="4"/>
    </row>
    <row r="11" spans="1:45" s="2" customFormat="1" ht="13.5" customHeight="1">
      <c r="A11" s="71" t="s">
        <v>29</v>
      </c>
      <c r="B11" s="71" t="s">
        <v>5</v>
      </c>
      <c r="C11" s="71" t="s">
        <v>30</v>
      </c>
      <c r="D11" s="71" t="s">
        <v>31</v>
      </c>
      <c r="E11" s="38"/>
      <c r="F11" s="36"/>
      <c r="G11" s="36"/>
      <c r="H11" s="36"/>
      <c r="I11" s="36"/>
      <c r="J11" s="36"/>
      <c r="K11" s="36"/>
      <c r="L11" s="36"/>
      <c r="M11" s="36"/>
      <c r="N11" s="36"/>
      <c r="O11" s="36"/>
      <c r="P11" s="36"/>
      <c r="Q11" s="36"/>
      <c r="R11" s="36"/>
      <c r="S11" s="36"/>
      <c r="T11" s="36"/>
      <c r="U11" s="36"/>
      <c r="V11" s="36"/>
      <c r="W11" s="36"/>
      <c r="X11" s="36"/>
      <c r="Y11" s="36"/>
      <c r="Z11" s="36"/>
      <c r="AA11" s="39">
        <f t="shared" si="4"/>
        <v>2.25</v>
      </c>
      <c r="AB11" s="40">
        <f t="shared" si="0"/>
        <v>448.26828299995793</v>
      </c>
      <c r="AC11" s="40">
        <f t="shared" si="5"/>
        <v>100.31829899999065</v>
      </c>
      <c r="AD11" s="40">
        <f t="shared" si="6"/>
        <v>199.2303479999813</v>
      </c>
      <c r="AE11" s="40">
        <f t="shared" si="1"/>
        <v>222.975</v>
      </c>
      <c r="AF11" s="40">
        <f t="shared" si="2"/>
        <v>-225.29328299995794</v>
      </c>
      <c r="AG11" s="41">
        <f t="shared" si="3"/>
        <v>-1000000</v>
      </c>
      <c r="AH11" s="4"/>
      <c r="AI11" s="4"/>
      <c r="AJ11" s="4"/>
      <c r="AK11" s="4"/>
      <c r="AL11" s="4"/>
      <c r="AM11" s="4"/>
      <c r="AN11" s="4"/>
      <c r="AO11" s="4"/>
      <c r="AP11" s="4"/>
      <c r="AQ11" s="4"/>
      <c r="AR11" s="4"/>
      <c r="AS11" s="4"/>
    </row>
    <row r="12" spans="1:45" s="2" customFormat="1" ht="13.5" customHeight="1">
      <c r="A12" s="44">
        <v>0</v>
      </c>
      <c r="B12" s="42">
        <f aca="true" t="shared" si="7" ref="B12:B19">AJ$1*A12^2+AJ$2*A12^0.5</f>
        <v>0</v>
      </c>
      <c r="C12" s="42">
        <f>C$5*A12</f>
        <v>0</v>
      </c>
      <c r="D12" s="42">
        <f aca="true" t="shared" si="8" ref="D12:D19">C12-B12</f>
        <v>0</v>
      </c>
      <c r="E12" s="38"/>
      <c r="F12" s="36"/>
      <c r="G12" s="36"/>
      <c r="H12" s="36"/>
      <c r="I12" s="36"/>
      <c r="J12" s="36"/>
      <c r="K12" s="36"/>
      <c r="L12" s="36"/>
      <c r="M12" s="36"/>
      <c r="N12" s="36"/>
      <c r="O12" s="36"/>
      <c r="P12" s="36"/>
      <c r="Q12" s="36"/>
      <c r="R12" s="36"/>
      <c r="S12" s="36"/>
      <c r="T12" s="36"/>
      <c r="U12" s="36"/>
      <c r="V12" s="36"/>
      <c r="W12" s="36"/>
      <c r="X12" s="36"/>
      <c r="Y12" s="36"/>
      <c r="Z12" s="36"/>
      <c r="AA12" s="39">
        <f t="shared" si="4"/>
        <v>2.5</v>
      </c>
      <c r="AB12" s="40">
        <f t="shared" si="0"/>
        <v>472.706604124365</v>
      </c>
      <c r="AC12" s="40">
        <f t="shared" si="5"/>
        <v>95.322570824873</v>
      </c>
      <c r="AD12" s="40">
        <f t="shared" si="6"/>
        <v>189.082641649746</v>
      </c>
      <c r="AE12" s="40">
        <f t="shared" si="1"/>
        <v>247.5</v>
      </c>
      <c r="AF12" s="40">
        <f t="shared" si="2"/>
        <v>-225.20660412436501</v>
      </c>
      <c r="AG12" s="41">
        <f t="shared" si="3"/>
        <v>-1000000</v>
      </c>
      <c r="AH12" s="4"/>
      <c r="AI12" s="4"/>
      <c r="AJ12" s="4"/>
      <c r="AK12" s="4"/>
      <c r="AL12" s="4"/>
      <c r="AM12" s="4"/>
      <c r="AN12" s="4"/>
      <c r="AO12" s="4"/>
      <c r="AP12" s="4"/>
      <c r="AQ12" s="4"/>
      <c r="AR12" s="4"/>
      <c r="AS12" s="4"/>
    </row>
    <row r="13" spans="1:45" s="2" customFormat="1" ht="13.5" customHeight="1">
      <c r="A13" s="44">
        <f aca="true" t="shared" si="9" ref="A13:A19">A12+5*C$6</f>
        <v>20</v>
      </c>
      <c r="B13" s="42">
        <f t="shared" si="7"/>
        <v>1416.6666666666665</v>
      </c>
      <c r="C13" s="42">
        <f aca="true" t="shared" si="10" ref="C13:C19">(C$5-0.4*A13)*A13</f>
        <v>1840</v>
      </c>
      <c r="D13" s="42">
        <f t="shared" si="8"/>
        <v>423.3333333333335</v>
      </c>
      <c r="E13" s="38"/>
      <c r="F13" s="36"/>
      <c r="G13" s="36"/>
      <c r="H13" s="36"/>
      <c r="I13" s="36"/>
      <c r="J13" s="36"/>
      <c r="K13" s="36"/>
      <c r="L13" s="36"/>
      <c r="M13" s="36"/>
      <c r="N13" s="36"/>
      <c r="O13" s="36"/>
      <c r="P13" s="36"/>
      <c r="Q13" s="36"/>
      <c r="R13" s="36"/>
      <c r="S13" s="36"/>
      <c r="T13" s="36"/>
      <c r="U13" s="36"/>
      <c r="V13" s="36"/>
      <c r="W13" s="36"/>
      <c r="X13" s="36"/>
      <c r="Y13" s="36"/>
      <c r="Z13" s="36"/>
      <c r="AA13" s="39">
        <f t="shared" si="4"/>
        <v>2.75</v>
      </c>
      <c r="AB13" s="40">
        <f t="shared" si="0"/>
        <v>495.9887533063775</v>
      </c>
      <c r="AC13" s="40">
        <f t="shared" si="5"/>
        <v>91.03914832843226</v>
      </c>
      <c r="AD13" s="40">
        <f t="shared" si="6"/>
        <v>180.35954665686452</v>
      </c>
      <c r="AE13" s="40">
        <f t="shared" si="1"/>
        <v>271.975</v>
      </c>
      <c r="AF13" s="40">
        <f t="shared" si="2"/>
        <v>-224.01375330637745</v>
      </c>
      <c r="AG13" s="41">
        <f t="shared" si="3"/>
        <v>-1000000</v>
      </c>
      <c r="AH13" s="4"/>
      <c r="AI13" s="4"/>
      <c r="AJ13" s="4"/>
      <c r="AK13" s="4"/>
      <c r="AL13" s="4"/>
      <c r="AM13" s="4"/>
      <c r="AN13" s="4"/>
      <c r="AO13" s="4"/>
      <c r="AP13" s="4"/>
      <c r="AQ13" s="4"/>
      <c r="AR13" s="4"/>
      <c r="AS13" s="4"/>
    </row>
    <row r="14" spans="1:45" s="2" customFormat="1" ht="13.5" customHeight="1">
      <c r="A14" s="44">
        <f t="shared" si="9"/>
        <v>40</v>
      </c>
      <c r="B14" s="42">
        <f t="shared" si="7"/>
        <v>2218.9514164974603</v>
      </c>
      <c r="C14" s="42">
        <f t="shared" si="10"/>
        <v>3360</v>
      </c>
      <c r="D14" s="42">
        <f t="shared" si="8"/>
        <v>1141.0485835025397</v>
      </c>
      <c r="E14" s="38"/>
      <c r="F14" s="36"/>
      <c r="G14" s="36"/>
      <c r="H14" s="36"/>
      <c r="I14" s="36"/>
      <c r="J14" s="36"/>
      <c r="K14" s="36"/>
      <c r="L14" s="36"/>
      <c r="M14" s="36"/>
      <c r="N14" s="36"/>
      <c r="O14" s="36"/>
      <c r="P14" s="36"/>
      <c r="Q14" s="36"/>
      <c r="R14" s="36"/>
      <c r="S14" s="36"/>
      <c r="T14" s="36"/>
      <c r="U14" s="36"/>
      <c r="V14" s="36"/>
      <c r="W14" s="36"/>
      <c r="X14" s="36"/>
      <c r="Y14" s="36"/>
      <c r="Z14" s="36"/>
      <c r="AA14" s="39">
        <f t="shared" si="4"/>
        <v>3</v>
      </c>
      <c r="AB14" s="40">
        <f t="shared" si="0"/>
        <v>518.2727794943222</v>
      </c>
      <c r="AC14" s="40">
        <f t="shared" si="5"/>
        <v>87.31629658238705</v>
      </c>
      <c r="AD14" s="40">
        <f t="shared" si="6"/>
        <v>172.7575931647741</v>
      </c>
      <c r="AE14" s="40">
        <f t="shared" si="1"/>
        <v>296.4</v>
      </c>
      <c r="AF14" s="40">
        <f t="shared" si="2"/>
        <v>-221.87277949432223</v>
      </c>
      <c r="AG14" s="41">
        <f t="shared" si="3"/>
        <v>-1000000</v>
      </c>
      <c r="AH14" s="4"/>
      <c r="AI14" s="4"/>
      <c r="AJ14" s="4"/>
      <c r="AK14" s="4"/>
      <c r="AL14" s="4"/>
      <c r="AM14" s="4"/>
      <c r="AN14" s="4"/>
      <c r="AO14" s="4"/>
      <c r="AP14" s="4"/>
      <c r="AQ14" s="4"/>
      <c r="AR14" s="4"/>
      <c r="AS14" s="4"/>
    </row>
    <row r="15" spans="1:45" s="2" customFormat="1" ht="13.5" customHeight="1">
      <c r="A15" s="44">
        <f t="shared" si="9"/>
        <v>60</v>
      </c>
      <c r="B15" s="42">
        <f t="shared" si="7"/>
        <v>3059.4010767585028</v>
      </c>
      <c r="C15" s="42">
        <f t="shared" si="10"/>
        <v>4560</v>
      </c>
      <c r="D15" s="42">
        <f t="shared" si="8"/>
        <v>1500.5989232414972</v>
      </c>
      <c r="E15" s="38"/>
      <c r="F15" s="36"/>
      <c r="G15" s="36"/>
      <c r="H15" s="36"/>
      <c r="I15" s="36"/>
      <c r="J15" s="36"/>
      <c r="K15" s="36"/>
      <c r="L15" s="36"/>
      <c r="M15" s="36"/>
      <c r="N15" s="36"/>
      <c r="O15" s="36"/>
      <c r="P15" s="36"/>
      <c r="Q15" s="36"/>
      <c r="R15" s="36"/>
      <c r="S15" s="36"/>
      <c r="T15" s="36"/>
      <c r="U15" s="36"/>
      <c r="V15" s="36"/>
      <c r="W15" s="36"/>
      <c r="X15" s="36"/>
      <c r="Y15" s="36"/>
      <c r="Z15" s="36"/>
      <c r="AA15" s="39">
        <f t="shared" si="4"/>
        <v>3.25</v>
      </c>
      <c r="AB15" s="40">
        <f t="shared" si="0"/>
        <v>539.6843707199033</v>
      </c>
      <c r="AC15" s="40">
        <f t="shared" si="5"/>
        <v>84.04398972613897</v>
      </c>
      <c r="AD15" s="40">
        <f t="shared" si="6"/>
        <v>166.05672945227795</v>
      </c>
      <c r="AE15" s="40">
        <f t="shared" si="1"/>
        <v>320.77500000000003</v>
      </c>
      <c r="AF15" s="40">
        <f t="shared" si="2"/>
        <v>-218.90937071990328</v>
      </c>
      <c r="AG15" s="41">
        <f t="shared" si="3"/>
        <v>-1000000</v>
      </c>
      <c r="AH15" s="4"/>
      <c r="AI15" s="4"/>
      <c r="AJ15" s="4"/>
      <c r="AK15" s="4"/>
      <c r="AL15" s="4"/>
      <c r="AM15" s="4"/>
      <c r="AN15" s="4"/>
      <c r="AO15" s="4"/>
      <c r="AP15" s="4"/>
      <c r="AQ15" s="4"/>
      <c r="AR15" s="4"/>
      <c r="AS15" s="4"/>
    </row>
    <row r="16" spans="1:45" s="2" customFormat="1" ht="13.5" customHeight="1">
      <c r="A16" s="44">
        <f t="shared" si="9"/>
        <v>80</v>
      </c>
      <c r="B16" s="42">
        <f t="shared" si="7"/>
        <v>4000</v>
      </c>
      <c r="C16" s="42">
        <f t="shared" si="10"/>
        <v>5440</v>
      </c>
      <c r="D16" s="42">
        <f t="shared" si="8"/>
        <v>1440</v>
      </c>
      <c r="E16" s="38"/>
      <c r="F16" s="36"/>
      <c r="G16" s="36"/>
      <c r="H16" s="36"/>
      <c r="I16" s="36"/>
      <c r="J16" s="36"/>
      <c r="K16" s="36"/>
      <c r="L16" s="36"/>
      <c r="M16" s="36"/>
      <c r="N16" s="36"/>
      <c r="O16" s="36"/>
      <c r="P16" s="36"/>
      <c r="Q16" s="36"/>
      <c r="R16" s="36"/>
      <c r="S16" s="36"/>
      <c r="T16" s="36"/>
      <c r="U16" s="36"/>
      <c r="V16" s="36"/>
      <c r="W16" s="36"/>
      <c r="X16" s="36"/>
      <c r="Y16" s="36"/>
      <c r="Z16" s="36"/>
      <c r="AA16" s="39">
        <f t="shared" si="4"/>
        <v>3.5</v>
      </c>
      <c r="AB16" s="40">
        <f t="shared" si="0"/>
        <v>560.3254343560503</v>
      </c>
      <c r="AC16" s="40">
        <f t="shared" si="5"/>
        <v>81.14024062229291</v>
      </c>
      <c r="AD16" s="40">
        <f t="shared" si="6"/>
        <v>160.09298124458581</v>
      </c>
      <c r="AE16" s="40">
        <f t="shared" si="1"/>
        <v>345.09999999999997</v>
      </c>
      <c r="AF16" s="40">
        <f t="shared" si="2"/>
        <v>-215.22543435605036</v>
      </c>
      <c r="AG16" s="41">
        <f t="shared" si="3"/>
        <v>-1000000</v>
      </c>
      <c r="AH16" s="4"/>
      <c r="AI16" s="4"/>
      <c r="AJ16" s="4"/>
      <c r="AK16" s="4"/>
      <c r="AL16" s="4"/>
      <c r="AM16" s="4"/>
      <c r="AN16" s="4"/>
      <c r="AO16" s="4"/>
      <c r="AP16" s="4"/>
      <c r="AQ16" s="4"/>
      <c r="AR16" s="4"/>
      <c r="AS16" s="4"/>
    </row>
    <row r="17" spans="1:45" s="2" customFormat="1" ht="13.5" customHeight="1">
      <c r="A17" s="44">
        <f t="shared" si="9"/>
        <v>100</v>
      </c>
      <c r="B17" s="42">
        <f t="shared" si="7"/>
        <v>5064.757303333053</v>
      </c>
      <c r="C17" s="42">
        <f t="shared" si="10"/>
        <v>6000</v>
      </c>
      <c r="D17" s="42">
        <f t="shared" si="8"/>
        <v>935.2426966669473</v>
      </c>
      <c r="E17" s="38"/>
      <c r="F17" s="36"/>
      <c r="G17" s="36"/>
      <c r="H17" s="36"/>
      <c r="I17" s="36"/>
      <c r="J17" s="36"/>
      <c r="K17" s="36"/>
      <c r="L17" s="36"/>
      <c r="M17" s="36"/>
      <c r="N17" s="36"/>
      <c r="O17" s="36"/>
      <c r="P17" s="36"/>
      <c r="Q17" s="36"/>
      <c r="R17" s="36"/>
      <c r="S17" s="36"/>
      <c r="T17" s="36"/>
      <c r="U17" s="36"/>
      <c r="V17" s="36"/>
      <c r="W17" s="36"/>
      <c r="X17" s="36"/>
      <c r="Y17" s="36"/>
      <c r="Z17" s="36"/>
      <c r="AA17" s="39">
        <f t="shared" si="4"/>
        <v>3.75</v>
      </c>
      <c r="AB17" s="40">
        <f t="shared" si="0"/>
        <v>580.2799566896257</v>
      </c>
      <c r="AC17" s="40">
        <f t="shared" si="5"/>
        <v>78.54253589195008</v>
      </c>
      <c r="AD17" s="40">
        <f t="shared" si="6"/>
        <v>154.74132178390016</v>
      </c>
      <c r="AE17" s="40">
        <f t="shared" si="1"/>
        <v>369.375</v>
      </c>
      <c r="AF17" s="40">
        <f t="shared" si="2"/>
        <v>-210.9049566896257</v>
      </c>
      <c r="AG17" s="41">
        <f t="shared" si="3"/>
        <v>-1000000</v>
      </c>
      <c r="AH17" s="4"/>
      <c r="AI17" s="4"/>
      <c r="AJ17" s="4"/>
      <c r="AK17" s="4"/>
      <c r="AL17" s="4"/>
      <c r="AM17" s="4"/>
      <c r="AN17" s="4"/>
      <c r="AO17" s="4"/>
      <c r="AP17" s="4"/>
      <c r="AQ17" s="4"/>
      <c r="AR17" s="4"/>
      <c r="AS17" s="4"/>
    </row>
    <row r="18" spans="1:45" s="2" customFormat="1" ht="13.5" customHeight="1">
      <c r="A18" s="44">
        <f t="shared" si="9"/>
        <v>120</v>
      </c>
      <c r="B18" s="42">
        <f t="shared" si="7"/>
        <v>6265.986323710904</v>
      </c>
      <c r="C18" s="42">
        <f t="shared" si="10"/>
        <v>6240</v>
      </c>
      <c r="D18" s="42">
        <f t="shared" si="8"/>
        <v>-25.98632371090389</v>
      </c>
      <c r="E18" s="38"/>
      <c r="F18" s="36"/>
      <c r="G18" s="36"/>
      <c r="H18" s="36"/>
      <c r="I18" s="36"/>
      <c r="J18" s="36"/>
      <c r="K18" s="36"/>
      <c r="L18" s="36"/>
      <c r="M18" s="36"/>
      <c r="N18" s="36"/>
      <c r="O18" s="36"/>
      <c r="P18" s="36"/>
      <c r="Q18" s="36"/>
      <c r="R18" s="36"/>
      <c r="S18" s="36"/>
      <c r="T18" s="36"/>
      <c r="U18" s="36"/>
      <c r="V18" s="36"/>
      <c r="W18" s="36"/>
      <c r="X18" s="36"/>
      <c r="Y18" s="36"/>
      <c r="Z18" s="36"/>
      <c r="AA18" s="39">
        <f t="shared" si="4"/>
        <v>4</v>
      </c>
      <c r="AB18" s="40">
        <f t="shared" si="0"/>
        <v>599.6181273332772</v>
      </c>
      <c r="AC18" s="40">
        <f t="shared" si="5"/>
        <v>76.20226591665966</v>
      </c>
      <c r="AD18" s="40">
        <f t="shared" si="6"/>
        <v>149.9045318333193</v>
      </c>
      <c r="AE18" s="40">
        <f t="shared" si="1"/>
        <v>393.6</v>
      </c>
      <c r="AF18" s="40">
        <f t="shared" si="2"/>
        <v>-206.01812733327722</v>
      </c>
      <c r="AG18" s="41">
        <f t="shared" si="3"/>
        <v>-1000000</v>
      </c>
      <c r="AH18" s="4"/>
      <c r="AI18" s="4"/>
      <c r="AJ18" s="4"/>
      <c r="AK18" s="4"/>
      <c r="AL18" s="4"/>
      <c r="AM18" s="4"/>
      <c r="AN18" s="4"/>
      <c r="AO18" s="4"/>
      <c r="AP18" s="4"/>
      <c r="AQ18" s="4"/>
      <c r="AR18" s="4"/>
      <c r="AS18" s="4"/>
    </row>
    <row r="19" spans="1:45" s="2" customFormat="1" ht="13.5" customHeight="1">
      <c r="A19" s="44">
        <f t="shared" si="9"/>
        <v>140</v>
      </c>
      <c r="B19" s="42">
        <f t="shared" si="7"/>
        <v>7611.001748086121</v>
      </c>
      <c r="C19" s="42">
        <f t="shared" si="10"/>
        <v>6160</v>
      </c>
      <c r="D19" s="42">
        <f t="shared" si="8"/>
        <v>-1451.0017480861206</v>
      </c>
      <c r="E19" s="38"/>
      <c r="F19" s="36"/>
      <c r="G19" s="36"/>
      <c r="H19" s="36"/>
      <c r="I19" s="36"/>
      <c r="J19" s="36"/>
      <c r="K19" s="36"/>
      <c r="L19" s="36"/>
      <c r="M19" s="36"/>
      <c r="N19" s="36"/>
      <c r="O19" s="36"/>
      <c r="P19" s="36"/>
      <c r="Q19" s="36"/>
      <c r="R19" s="36"/>
      <c r="S19" s="36"/>
      <c r="T19" s="36"/>
      <c r="U19" s="36"/>
      <c r="V19" s="36"/>
      <c r="W19" s="36"/>
      <c r="X19" s="36"/>
      <c r="Y19" s="36"/>
      <c r="Z19" s="36"/>
      <c r="AA19" s="39">
        <f t="shared" si="4"/>
        <v>4.25</v>
      </c>
      <c r="AB19" s="40">
        <f t="shared" si="0"/>
        <v>618.3993179861925</v>
      </c>
      <c r="AC19" s="40">
        <f t="shared" si="5"/>
        <v>74.08098593955205</v>
      </c>
      <c r="AD19" s="40">
        <f t="shared" si="6"/>
        <v>145.5057218791041</v>
      </c>
      <c r="AE19" s="40">
        <f t="shared" si="1"/>
        <v>417.775</v>
      </c>
      <c r="AF19" s="40">
        <f t="shared" si="2"/>
        <v>-200.62431798619252</v>
      </c>
      <c r="AG19" s="41">
        <f t="shared" si="3"/>
        <v>-1000000</v>
      </c>
      <c r="AH19" s="4"/>
      <c r="AI19" s="4"/>
      <c r="AJ19" s="4"/>
      <c r="AK19" s="4"/>
      <c r="AL19" s="4"/>
      <c r="AM19" s="4"/>
      <c r="AN19" s="4"/>
      <c r="AO19" s="4"/>
      <c r="AP19" s="4"/>
      <c r="AQ19" s="4"/>
      <c r="AR19" s="4"/>
      <c r="AS19" s="4"/>
    </row>
    <row r="20" spans="1:45" s="2" customFormat="1" ht="13.5" customHeight="1">
      <c r="A20" s="36" t="s">
        <v>83</v>
      </c>
      <c r="B20" s="45"/>
      <c r="C20" s="45"/>
      <c r="D20" s="45"/>
      <c r="E20" s="38"/>
      <c r="F20" s="36"/>
      <c r="G20" s="36"/>
      <c r="H20" s="36"/>
      <c r="I20" s="36"/>
      <c r="J20" s="36"/>
      <c r="K20" s="36"/>
      <c r="L20" s="36"/>
      <c r="M20" s="36"/>
      <c r="N20" s="36"/>
      <c r="O20" s="36"/>
      <c r="P20" s="36"/>
      <c r="Q20" s="36"/>
      <c r="R20" s="36"/>
      <c r="S20" s="36"/>
      <c r="T20" s="36"/>
      <c r="U20" s="36"/>
      <c r="V20" s="36"/>
      <c r="W20" s="36"/>
      <c r="X20" s="36"/>
      <c r="Y20" s="36"/>
      <c r="Z20" s="36"/>
      <c r="AA20" s="39">
        <f t="shared" si="4"/>
        <v>4.5</v>
      </c>
      <c r="AB20" s="40">
        <f t="shared" si="0"/>
        <v>636.6742820336758</v>
      </c>
      <c r="AC20" s="40">
        <f t="shared" si="5"/>
        <v>72.14783689263065</v>
      </c>
      <c r="AD20" s="40">
        <f t="shared" si="6"/>
        <v>141.4831737852613</v>
      </c>
      <c r="AE20" s="40">
        <f t="shared" si="1"/>
        <v>441.90000000000003</v>
      </c>
      <c r="AF20" s="40">
        <f t="shared" si="2"/>
        <v>-194.77428203367577</v>
      </c>
      <c r="AG20" s="41">
        <f t="shared" si="3"/>
        <v>-1000000</v>
      </c>
      <c r="AH20" s="4"/>
      <c r="AI20" s="4"/>
      <c r="AJ20" s="4"/>
      <c r="AK20" s="4"/>
      <c r="AL20" s="4"/>
      <c r="AM20" s="4"/>
      <c r="AN20" s="4"/>
      <c r="AO20" s="4"/>
      <c r="AP20" s="4"/>
      <c r="AQ20" s="4"/>
      <c r="AR20" s="4"/>
      <c r="AS20" s="4"/>
    </row>
    <row r="21" spans="1:45" s="2" customFormat="1" ht="13.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9">
        <f t="shared" si="4"/>
        <v>4.75</v>
      </c>
      <c r="AB21" s="40">
        <f t="shared" si="0"/>
        <v>654.4868104872643</v>
      </c>
      <c r="AC21" s="40">
        <f t="shared" si="5"/>
        <v>70.3777234723436</v>
      </c>
      <c r="AD21" s="40">
        <f t="shared" si="6"/>
        <v>137.7866969446872</v>
      </c>
      <c r="AE21" s="40">
        <f t="shared" si="1"/>
        <v>465.97499999999997</v>
      </c>
      <c r="AF21" s="40">
        <f t="shared" si="2"/>
        <v>-188.5118104872643</v>
      </c>
      <c r="AG21" s="41">
        <f t="shared" si="3"/>
        <v>-1000000</v>
      </c>
      <c r="AH21" s="4"/>
      <c r="AI21" s="4"/>
      <c r="AJ21" s="4"/>
      <c r="AK21" s="4"/>
      <c r="AL21" s="4"/>
      <c r="AM21" s="4"/>
      <c r="AN21" s="4"/>
      <c r="AO21" s="4"/>
      <c r="AP21" s="4"/>
      <c r="AQ21" s="4"/>
      <c r="AR21" s="4"/>
      <c r="AS21" s="4"/>
    </row>
    <row r="22" spans="1:45" s="2" customFormat="1" ht="13.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9">
        <f t="shared" si="4"/>
        <v>5</v>
      </c>
      <c r="AB22" s="40">
        <f t="shared" si="0"/>
        <v>671.875</v>
      </c>
      <c r="AC22" s="40">
        <f t="shared" si="5"/>
        <v>68.74999999999999</v>
      </c>
      <c r="AD22" s="40">
        <f t="shared" si="6"/>
        <v>134.37499999999997</v>
      </c>
      <c r="AE22" s="40">
        <f t="shared" si="1"/>
        <v>490</v>
      </c>
      <c r="AF22" s="40">
        <f t="shared" si="2"/>
        <v>-181.875</v>
      </c>
      <c r="AG22" s="41">
        <f t="shared" si="3"/>
        <v>-1000000</v>
      </c>
      <c r="AH22" s="4"/>
      <c r="AI22" s="4"/>
      <c r="AJ22" s="4"/>
      <c r="AK22" s="4"/>
      <c r="AL22" s="4"/>
      <c r="AM22" s="4"/>
      <c r="AN22" s="4"/>
      <c r="AO22" s="4"/>
      <c r="AP22" s="4"/>
      <c r="AQ22" s="4"/>
      <c r="AR22" s="4"/>
      <c r="AS22" s="4"/>
    </row>
    <row r="23" spans="1:45" s="2" customFormat="1" ht="13.5"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9">
        <f aca="true" t="shared" si="11" ref="AA23:AA55">AA22+$C$6</f>
        <v>9</v>
      </c>
      <c r="AB23" s="40">
        <f t="shared" si="0"/>
        <v>911.3021909999159</v>
      </c>
      <c r="AC23" s="40">
        <f t="shared" si="5"/>
        <v>53.44039949999532</v>
      </c>
      <c r="AD23" s="40">
        <f t="shared" si="6"/>
        <v>101.25579899999065</v>
      </c>
      <c r="AE23" s="40">
        <f t="shared" si="1"/>
        <v>867.6</v>
      </c>
      <c r="AF23" s="40">
        <f t="shared" si="2"/>
        <v>-43.70219099991584</v>
      </c>
      <c r="AG23" s="41">
        <f t="shared" si="3"/>
        <v>-1000000</v>
      </c>
      <c r="AH23" s="4"/>
      <c r="AI23" s="4"/>
      <c r="AJ23" s="4"/>
      <c r="AK23" s="4"/>
      <c r="AL23" s="4"/>
      <c r="AM23" s="4"/>
      <c r="AN23" s="4"/>
      <c r="AO23" s="4"/>
      <c r="AP23" s="4"/>
      <c r="AQ23" s="4"/>
      <c r="AR23" s="4"/>
      <c r="AS23" s="4"/>
    </row>
    <row r="24" spans="1:45" s="2" customFormat="1" ht="13.5"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9">
        <f t="shared" si="11"/>
        <v>13</v>
      </c>
      <c r="AB24" s="40">
        <f t="shared" si="0"/>
        <v>1110.1760331064731</v>
      </c>
      <c r="AC24" s="40">
        <f t="shared" si="5"/>
        <v>46.761578196402816</v>
      </c>
      <c r="AD24" s="40">
        <f t="shared" si="6"/>
        <v>85.39815639280563</v>
      </c>
      <c r="AE24" s="40">
        <f t="shared" si="1"/>
        <v>1232.3999999999999</v>
      </c>
      <c r="AF24" s="40">
        <f t="shared" si="2"/>
        <v>122.22396689352672</v>
      </c>
      <c r="AG24" s="41">
        <f t="shared" si="3"/>
        <v>-1000000</v>
      </c>
      <c r="AH24" s="4"/>
      <c r="AI24" s="4"/>
      <c r="AJ24" s="4"/>
      <c r="AK24" s="4"/>
      <c r="AL24" s="4"/>
      <c r="AM24" s="4"/>
      <c r="AN24" s="4"/>
      <c r="AO24" s="4"/>
      <c r="AP24" s="4"/>
      <c r="AQ24" s="4"/>
      <c r="AR24" s="4"/>
      <c r="AS24" s="4"/>
    </row>
    <row r="25" spans="1:45" s="2" customFormat="1" ht="13.5" customHeight="1">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9">
        <f t="shared" si="11"/>
        <v>17</v>
      </c>
      <c r="AB25" s="40">
        <f t="shared" si="0"/>
        <v>1289.4809276390515</v>
      </c>
      <c r="AC25" s="40">
        <f t="shared" si="5"/>
        <v>43.2384096364427</v>
      </c>
      <c r="AD25" s="40">
        <f t="shared" si="6"/>
        <v>75.8518192728854</v>
      </c>
      <c r="AE25" s="40">
        <f t="shared" si="1"/>
        <v>1584.4</v>
      </c>
      <c r="AF25" s="40">
        <f t="shared" si="2"/>
        <v>294.9190723609486</v>
      </c>
      <c r="AG25" s="41">
        <f t="shared" si="3"/>
        <v>-1000000</v>
      </c>
      <c r="AH25" s="4"/>
      <c r="AI25" s="4"/>
      <c r="AJ25" s="4"/>
      <c r="AK25" s="4"/>
      <c r="AL25" s="4"/>
      <c r="AM25" s="4"/>
      <c r="AN25" s="4"/>
      <c r="AO25" s="4"/>
      <c r="AP25" s="4"/>
      <c r="AQ25" s="4"/>
      <c r="AR25" s="4"/>
      <c r="AS25" s="4"/>
    </row>
    <row r="26" spans="1:45" s="2" customFormat="1" ht="13.5" customHeight="1">
      <c r="A26" s="35"/>
      <c r="B26" s="35"/>
      <c r="C26" s="35"/>
      <c r="D26" s="35"/>
      <c r="E26" s="36"/>
      <c r="F26" s="35"/>
      <c r="G26" s="35"/>
      <c r="H26" s="35"/>
      <c r="I26" s="36"/>
      <c r="J26" s="36"/>
      <c r="K26" s="36"/>
      <c r="L26" s="36"/>
      <c r="M26" s="36"/>
      <c r="N26" s="36"/>
      <c r="O26" s="36"/>
      <c r="P26" s="36"/>
      <c r="Q26" s="36"/>
      <c r="R26" s="36"/>
      <c r="S26" s="36"/>
      <c r="T26" s="36"/>
      <c r="U26" s="36"/>
      <c r="V26" s="36"/>
      <c r="W26" s="36"/>
      <c r="X26" s="36"/>
      <c r="Y26" s="36"/>
      <c r="Z26" s="36"/>
      <c r="AA26" s="39">
        <f t="shared" si="11"/>
        <v>21</v>
      </c>
      <c r="AB26" s="40">
        <f t="shared" si="0"/>
        <v>1458.1351021279463</v>
      </c>
      <c r="AC26" s="40">
        <f t="shared" si="5"/>
        <v>41.280002431617774</v>
      </c>
      <c r="AD26" s="40">
        <f t="shared" si="6"/>
        <v>69.43500486323555</v>
      </c>
      <c r="AE26" s="40">
        <f t="shared" si="1"/>
        <v>1923.6</v>
      </c>
      <c r="AF26" s="40">
        <f t="shared" si="2"/>
        <v>465.4648978720536</v>
      </c>
      <c r="AG26" s="41">
        <f t="shared" si="3"/>
        <v>-1000000</v>
      </c>
      <c r="AH26" s="4"/>
      <c r="AI26" s="4"/>
      <c r="AJ26" s="4"/>
      <c r="AK26" s="4"/>
      <c r="AL26" s="4"/>
      <c r="AM26" s="4"/>
      <c r="AN26" s="4"/>
      <c r="AO26" s="4"/>
      <c r="AP26" s="4"/>
      <c r="AQ26" s="4"/>
      <c r="AR26" s="4"/>
      <c r="AS26" s="4"/>
    </row>
    <row r="27" spans="1:45" s="2" customFormat="1" ht="13.5" customHeight="1">
      <c r="A27" s="35"/>
      <c r="B27" s="35"/>
      <c r="C27" s="35"/>
      <c r="D27" s="35"/>
      <c r="E27" s="36"/>
      <c r="F27" s="35"/>
      <c r="G27" s="35"/>
      <c r="H27" s="35"/>
      <c r="I27" s="36"/>
      <c r="J27" s="36"/>
      <c r="K27" s="36"/>
      <c r="L27" s="36"/>
      <c r="M27" s="36"/>
      <c r="N27" s="36"/>
      <c r="O27" s="36"/>
      <c r="P27" s="36"/>
      <c r="Q27" s="36"/>
      <c r="R27" s="36"/>
      <c r="S27" s="36"/>
      <c r="T27" s="36"/>
      <c r="U27" s="36"/>
      <c r="V27" s="36"/>
      <c r="W27" s="36"/>
      <c r="X27" s="36"/>
      <c r="Y27" s="36"/>
      <c r="Z27" s="36"/>
      <c r="AA27" s="39">
        <f t="shared" si="11"/>
        <v>25</v>
      </c>
      <c r="AB27" s="40">
        <f t="shared" si="0"/>
        <v>1620.9203183331929</v>
      </c>
      <c r="AC27" s="40">
        <f t="shared" si="5"/>
        <v>40.23090636666386</v>
      </c>
      <c r="AD27" s="40">
        <f t="shared" si="6"/>
        <v>64.83681273332772</v>
      </c>
      <c r="AE27" s="40">
        <f t="shared" si="1"/>
        <v>2250</v>
      </c>
      <c r="AF27" s="40">
        <f t="shared" si="2"/>
        <v>629.0796816668071</v>
      </c>
      <c r="AG27" s="41">
        <f t="shared" si="3"/>
        <v>-1000000</v>
      </c>
      <c r="AH27" s="4"/>
      <c r="AI27" s="4"/>
      <c r="AJ27" s="4"/>
      <c r="AK27" s="4"/>
      <c r="AL27" s="4"/>
      <c r="AM27" s="4"/>
      <c r="AN27" s="4"/>
      <c r="AO27" s="4"/>
      <c r="AP27" s="4"/>
      <c r="AQ27" s="4"/>
      <c r="AR27" s="4"/>
      <c r="AS27" s="4"/>
    </row>
    <row r="28" spans="1:45" s="2" customFormat="1" ht="13.5" customHeight="1">
      <c r="A28" s="35"/>
      <c r="B28" s="35"/>
      <c r="C28" s="35"/>
      <c r="D28" s="35"/>
      <c r="E28" s="36"/>
      <c r="F28" s="36"/>
      <c r="G28" s="36"/>
      <c r="H28" s="36"/>
      <c r="I28" s="36"/>
      <c r="J28" s="36"/>
      <c r="K28" s="36"/>
      <c r="L28" s="36"/>
      <c r="M28" s="36"/>
      <c r="N28" s="36"/>
      <c r="O28" s="36"/>
      <c r="P28" s="36"/>
      <c r="Q28" s="36"/>
      <c r="R28" s="36"/>
      <c r="S28" s="36"/>
      <c r="T28" s="36"/>
      <c r="U28" s="36"/>
      <c r="V28" s="36"/>
      <c r="W28" s="36"/>
      <c r="X28" s="36"/>
      <c r="Y28" s="36"/>
      <c r="Z28" s="36"/>
      <c r="AA28" s="39">
        <f t="shared" si="11"/>
        <v>29</v>
      </c>
      <c r="AB28" s="40">
        <f t="shared" si="0"/>
        <v>1780.7542771723058</v>
      </c>
      <c r="AC28" s="40">
        <f t="shared" si="5"/>
        <v>39.76515995124665</v>
      </c>
      <c r="AD28" s="40">
        <f t="shared" si="6"/>
        <v>61.405319902493304</v>
      </c>
      <c r="AE28" s="40">
        <f t="shared" si="1"/>
        <v>2563.6000000000004</v>
      </c>
      <c r="AF28" s="40">
        <f t="shared" si="2"/>
        <v>782.8457228276945</v>
      </c>
      <c r="AG28" s="41">
        <f t="shared" si="3"/>
        <v>-1000000</v>
      </c>
      <c r="AH28" s="4"/>
      <c r="AI28" s="4"/>
      <c r="AJ28" s="4"/>
      <c r="AK28" s="4"/>
      <c r="AL28" s="4"/>
      <c r="AM28" s="4"/>
      <c r="AN28" s="4"/>
      <c r="AO28" s="4"/>
      <c r="AP28" s="4"/>
      <c r="AQ28" s="4"/>
      <c r="AR28" s="4"/>
      <c r="AS28" s="4"/>
    </row>
    <row r="29" spans="1:45" s="2" customFormat="1" ht="13.5" customHeight="1">
      <c r="A29" s="35"/>
      <c r="B29" s="35"/>
      <c r="C29" s="35"/>
      <c r="D29" s="35"/>
      <c r="E29" s="36"/>
      <c r="F29" s="36"/>
      <c r="G29" s="36"/>
      <c r="H29" s="36"/>
      <c r="I29" s="36"/>
      <c r="J29" s="36"/>
      <c r="K29" s="36"/>
      <c r="L29" s="36"/>
      <c r="M29" s="36"/>
      <c r="N29" s="36"/>
      <c r="O29" s="36"/>
      <c r="P29" s="36"/>
      <c r="Q29" s="36"/>
      <c r="R29" s="36"/>
      <c r="S29" s="36"/>
      <c r="T29" s="36"/>
      <c r="U29" s="36"/>
      <c r="V29" s="36"/>
      <c r="W29" s="36"/>
      <c r="X29" s="36"/>
      <c r="Y29" s="36"/>
      <c r="Z29" s="36"/>
      <c r="AA29" s="39">
        <f t="shared" si="11"/>
        <v>33</v>
      </c>
      <c r="AB29" s="40">
        <f t="shared" si="0"/>
        <v>1939.5726771553504</v>
      </c>
      <c r="AC29" s="40">
        <f t="shared" si="5"/>
        <v>39.6999648053841</v>
      </c>
      <c r="AD29" s="40">
        <f t="shared" si="6"/>
        <v>58.7749296107682</v>
      </c>
      <c r="AE29" s="40">
        <f t="shared" si="1"/>
        <v>2864.4</v>
      </c>
      <c r="AF29" s="40">
        <f t="shared" si="2"/>
        <v>924.8273228446496</v>
      </c>
      <c r="AG29" s="41">
        <f t="shared" si="3"/>
        <v>-1000000</v>
      </c>
      <c r="AH29" s="4"/>
      <c r="AI29" s="4"/>
      <c r="AJ29" s="4"/>
      <c r="AK29" s="4"/>
      <c r="AL29" s="4"/>
      <c r="AM29" s="4"/>
      <c r="AN29" s="4"/>
      <c r="AO29" s="4"/>
      <c r="AP29" s="4"/>
      <c r="AQ29" s="4"/>
      <c r="AR29" s="4"/>
      <c r="AS29" s="4"/>
    </row>
    <row r="30" spans="1:45" ht="13.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9">
        <f t="shared" si="11"/>
        <v>37</v>
      </c>
      <c r="AB30" s="40">
        <f t="shared" si="0"/>
        <v>2098.737734498059</v>
      </c>
      <c r="AC30" s="40">
        <f t="shared" si="5"/>
        <v>39.92382073646026</v>
      </c>
      <c r="AD30" s="40">
        <f t="shared" si="6"/>
        <v>56.722641472920515</v>
      </c>
      <c r="AE30" s="40">
        <f t="shared" si="1"/>
        <v>3152.4</v>
      </c>
      <c r="AF30" s="40">
        <f t="shared" si="2"/>
        <v>1053.662265501941</v>
      </c>
      <c r="AG30" s="41">
        <f t="shared" si="3"/>
        <v>-1000000</v>
      </c>
      <c r="AH30" s="8"/>
      <c r="AI30" s="8"/>
      <c r="AJ30" s="8"/>
      <c r="AK30" s="8"/>
      <c r="AL30" s="8"/>
      <c r="AM30" s="8"/>
      <c r="AN30" s="8"/>
      <c r="AO30" s="8"/>
      <c r="AP30" s="8"/>
      <c r="AQ30" s="8"/>
      <c r="AR30" s="8"/>
      <c r="AS30" s="8"/>
    </row>
    <row r="31" spans="1:45" ht="13.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9">
        <f t="shared" si="11"/>
        <v>41</v>
      </c>
      <c r="AB31" s="40">
        <f t="shared" si="0"/>
        <v>2259.2511417701803</v>
      </c>
      <c r="AC31" s="40">
        <f t="shared" si="5"/>
        <v>40.364343192319275</v>
      </c>
      <c r="AD31" s="40">
        <f t="shared" si="6"/>
        <v>55.10368638463855</v>
      </c>
      <c r="AE31" s="40">
        <f t="shared" si="1"/>
        <v>3427.6</v>
      </c>
      <c r="AF31" s="40">
        <f t="shared" si="2"/>
        <v>1168.3488582298196</v>
      </c>
      <c r="AG31" s="41">
        <f t="shared" si="3"/>
        <v>-1000000</v>
      </c>
      <c r="AH31" s="8"/>
      <c r="AI31" s="8"/>
      <c r="AJ31" s="8"/>
      <c r="AK31" s="8"/>
      <c r="AL31" s="8"/>
      <c r="AM31" s="8"/>
      <c r="AN31" s="8"/>
      <c r="AO31" s="8"/>
      <c r="AP31" s="8"/>
      <c r="AQ31" s="8"/>
      <c r="AR31" s="8"/>
      <c r="AS31" s="8"/>
    </row>
    <row r="32" spans="1:45" ht="13.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9">
        <f t="shared" si="11"/>
        <v>45</v>
      </c>
      <c r="AB32" s="40">
        <f t="shared" si="0"/>
        <v>2421.875</v>
      </c>
      <c r="AC32" s="40">
        <f t="shared" si="5"/>
        <v>40.97222222222222</v>
      </c>
      <c r="AD32" s="40">
        <f t="shared" si="6"/>
        <v>53.81944444444444</v>
      </c>
      <c r="AE32" s="40">
        <f t="shared" si="1"/>
        <v>3690</v>
      </c>
      <c r="AF32" s="40">
        <f t="shared" si="2"/>
        <v>1268.125</v>
      </c>
      <c r="AG32" s="41">
        <f t="shared" si="3"/>
        <v>-1000000</v>
      </c>
      <c r="AH32" s="8"/>
      <c r="AI32" s="8"/>
      <c r="AJ32" s="8"/>
      <c r="AK32" s="8"/>
      <c r="AL32" s="8"/>
      <c r="AM32" s="8"/>
      <c r="AN32" s="8"/>
      <c r="AO32" s="8"/>
      <c r="AP32" s="8"/>
      <c r="AQ32" s="8"/>
      <c r="AR32" s="8"/>
      <c r="AS32" s="8"/>
    </row>
    <row r="33" spans="1:45" ht="13.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9">
        <f t="shared" si="11"/>
        <v>49</v>
      </c>
      <c r="AB33" s="40">
        <f t="shared" si="0"/>
        <v>2587.205112333137</v>
      </c>
      <c r="AC33" s="40">
        <f t="shared" si="5"/>
        <v>41.712552166664665</v>
      </c>
      <c r="AD33" s="40">
        <f t="shared" si="6"/>
        <v>52.80010433332932</v>
      </c>
      <c r="AE33" s="40">
        <f t="shared" si="1"/>
        <v>3939.6000000000004</v>
      </c>
      <c r="AF33" s="40">
        <f t="shared" si="2"/>
        <v>1352.3948876668633</v>
      </c>
      <c r="AG33" s="41">
        <f t="shared" si="3"/>
        <v>-1000000</v>
      </c>
      <c r="AH33" s="8"/>
      <c r="AI33" s="8"/>
      <c r="AJ33" s="8"/>
      <c r="AK33" s="8"/>
      <c r="AL33" s="8"/>
      <c r="AM33" s="8"/>
      <c r="AN33" s="8"/>
      <c r="AO33" s="8"/>
      <c r="AP33" s="8"/>
      <c r="AQ33" s="8"/>
      <c r="AR33" s="8"/>
      <c r="AS33" s="8"/>
    </row>
    <row r="34" spans="1:45" ht="13.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9">
        <f t="shared" si="11"/>
        <v>53</v>
      </c>
      <c r="AB34" s="40">
        <f aca="true" t="shared" si="12" ref="AB34:AB55">AJ$1*AA34^2+AJ$2*AA34^0.5</f>
        <v>2755.7177461466276</v>
      </c>
      <c r="AC34" s="40">
        <f t="shared" si="5"/>
        <v>42.559837227798376</v>
      </c>
      <c r="AD34" s="40">
        <f t="shared" si="6"/>
        <v>51.99467445559675</v>
      </c>
      <c r="AE34" s="40">
        <f aca="true" t="shared" si="13" ref="AE34:AE55">($C$5-0.4*AA34)*AA34</f>
        <v>4176.4</v>
      </c>
      <c r="AF34" s="40">
        <f aca="true" t="shared" si="14" ref="AF34:AF55">AE34-AB34</f>
        <v>1420.682253853372</v>
      </c>
      <c r="AG34" s="41">
        <f aca="true" t="shared" si="15" ref="AG34:AG55">IF(AF34=AF$56,10000,-1000000)</f>
        <v>-1000000</v>
      </c>
      <c r="AH34" s="8"/>
      <c r="AI34" s="8"/>
      <c r="AJ34" s="8"/>
      <c r="AK34" s="8"/>
      <c r="AL34" s="8"/>
      <c r="AM34" s="8"/>
      <c r="AN34" s="8"/>
      <c r="AO34" s="8"/>
      <c r="AP34" s="8"/>
      <c r="AQ34" s="8"/>
      <c r="AR34" s="8"/>
      <c r="AS34" s="8"/>
    </row>
    <row r="35" spans="1:45" ht="13.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9">
        <f t="shared" si="11"/>
        <v>57</v>
      </c>
      <c r="AB35" s="40">
        <f t="shared" si="12"/>
        <v>2927.800735484551</v>
      </c>
      <c r="AC35" s="40">
        <f aca="true" t="shared" si="16" ref="AC35:AC55">2*AJ$1*AA35+0.5*AJ$2*AA35^-0.5</f>
        <v>43.494962591969745</v>
      </c>
      <c r="AD35" s="40">
        <f aca="true" t="shared" si="17" ref="AD35:AD55">AJ$1*AA35+AJ$2*AA35^-0.5</f>
        <v>51.36492518393949</v>
      </c>
      <c r="AE35" s="40">
        <f t="shared" si="13"/>
        <v>4400.400000000001</v>
      </c>
      <c r="AF35" s="40">
        <f t="shared" si="14"/>
        <v>1472.5992645154497</v>
      </c>
      <c r="AG35" s="41">
        <f t="shared" si="15"/>
        <v>-1000000</v>
      </c>
      <c r="AH35" s="8"/>
      <c r="AI35" s="8"/>
      <c r="AJ35" s="8"/>
      <c r="AK35" s="8"/>
      <c r="AL35" s="8"/>
      <c r="AM35" s="8"/>
      <c r="AN35" s="8"/>
      <c r="AO35" s="8"/>
      <c r="AP35" s="8"/>
      <c r="AQ35" s="8"/>
      <c r="AR35" s="8"/>
      <c r="AS35" s="8"/>
    </row>
    <row r="36" spans="1:45" ht="13.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9">
        <f t="shared" si="11"/>
        <v>61</v>
      </c>
      <c r="AB36" s="40">
        <f t="shared" si="12"/>
        <v>3103.774892876397</v>
      </c>
      <c r="AC36" s="40">
        <f t="shared" si="16"/>
        <v>44.50327781046227</v>
      </c>
      <c r="AD36" s="40">
        <f t="shared" si="17"/>
        <v>50.881555620924544</v>
      </c>
      <c r="AE36" s="40">
        <f t="shared" si="13"/>
        <v>4611.599999999999</v>
      </c>
      <c r="AF36" s="40">
        <f t="shared" si="14"/>
        <v>1507.8251071236023</v>
      </c>
      <c r="AG36" s="41">
        <f t="shared" si="15"/>
        <v>-1000000</v>
      </c>
      <c r="AH36" s="8"/>
      <c r="AI36" s="8"/>
      <c r="AJ36" s="8"/>
      <c r="AK36" s="8"/>
      <c r="AL36" s="8"/>
      <c r="AM36" s="8"/>
      <c r="AN36" s="8"/>
      <c r="AO36" s="8"/>
      <c r="AP36" s="8"/>
      <c r="AQ36" s="8"/>
      <c r="AR36" s="8"/>
      <c r="AS36" s="8"/>
    </row>
    <row r="37" spans="1:45" ht="13.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9">
        <f t="shared" si="11"/>
        <v>65</v>
      </c>
      <c r="AB37" s="40">
        <f t="shared" si="12"/>
        <v>3283.909183642659</v>
      </c>
      <c r="AC37" s="40">
        <f t="shared" si="16"/>
        <v>45.57333987417431</v>
      </c>
      <c r="AD37" s="40">
        <f t="shared" si="17"/>
        <v>50.5216797483486</v>
      </c>
      <c r="AE37" s="40">
        <f t="shared" si="13"/>
        <v>4810</v>
      </c>
      <c r="AF37" s="40">
        <f t="shared" si="14"/>
        <v>1526.0908163573408</v>
      </c>
      <c r="AG37" s="41">
        <f t="shared" si="15"/>
        <v>-1000000</v>
      </c>
      <c r="AH37" s="8"/>
      <c r="AI37" s="8"/>
      <c r="AJ37" s="8"/>
      <c r="AK37" s="8"/>
      <c r="AL37" s="8"/>
      <c r="AM37" s="8"/>
      <c r="AN37" s="8"/>
      <c r="AO37" s="8"/>
      <c r="AP37" s="8"/>
      <c r="AQ37" s="8"/>
      <c r="AR37" s="8"/>
      <c r="AS37" s="8"/>
    </row>
    <row r="38" spans="1:45" ht="13.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9">
        <f t="shared" si="11"/>
        <v>69</v>
      </c>
      <c r="AB38" s="40">
        <f t="shared" si="12"/>
        <v>3468.431749467561</v>
      </c>
      <c r="AC38" s="40">
        <f t="shared" si="16"/>
        <v>46.696063401938844</v>
      </c>
      <c r="AD38" s="40">
        <f t="shared" si="17"/>
        <v>50.267126803877694</v>
      </c>
      <c r="AE38" s="40">
        <f t="shared" si="13"/>
        <v>4995.6</v>
      </c>
      <c r="AF38" s="40">
        <f t="shared" si="14"/>
        <v>1527.1682505324393</v>
      </c>
      <c r="AG38" s="41">
        <f t="shared" si="15"/>
        <v>10000</v>
      </c>
      <c r="AH38" s="8"/>
      <c r="AI38" s="8"/>
      <c r="AJ38" s="8"/>
      <c r="AK38" s="8"/>
      <c r="AL38" s="8"/>
      <c r="AM38" s="8"/>
      <c r="AN38" s="8"/>
      <c r="AO38" s="8"/>
      <c r="AP38" s="8"/>
      <c r="AQ38" s="8"/>
      <c r="AR38" s="8"/>
      <c r="AS38" s="8"/>
    </row>
    <row r="39" spans="1:45"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5">
        <f t="shared" si="11"/>
        <v>73</v>
      </c>
      <c r="AB39" s="6">
        <f t="shared" si="12"/>
        <v>3657.5380899390398</v>
      </c>
      <c r="AC39" s="6">
        <f t="shared" si="16"/>
        <v>47.864130753007124</v>
      </c>
      <c r="AD39" s="6">
        <f t="shared" si="17"/>
        <v>50.10326150601425</v>
      </c>
      <c r="AE39" s="6">
        <f t="shared" si="13"/>
        <v>5168.4</v>
      </c>
      <c r="AF39" s="6">
        <f t="shared" si="14"/>
        <v>1510.8619100609599</v>
      </c>
      <c r="AG39" s="7">
        <f t="shared" si="15"/>
        <v>-1000000</v>
      </c>
      <c r="AH39" s="8"/>
      <c r="AI39" s="8"/>
      <c r="AJ39" s="8"/>
      <c r="AK39" s="8"/>
      <c r="AL39" s="8"/>
      <c r="AM39" s="8"/>
      <c r="AN39" s="8"/>
      <c r="AO39" s="8"/>
      <c r="AP39" s="8"/>
      <c r="AQ39" s="8"/>
      <c r="AR39" s="8"/>
      <c r="AS39" s="8"/>
    </row>
    <row r="40" spans="1:45"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5">
        <f t="shared" si="11"/>
        <v>77</v>
      </c>
      <c r="AB40" s="6">
        <f t="shared" si="12"/>
        <v>3851.3972493798115</v>
      </c>
      <c r="AC40" s="6">
        <f t="shared" si="16"/>
        <v>49.07157304792085</v>
      </c>
      <c r="AD40" s="6">
        <f t="shared" si="17"/>
        <v>50.0181460958417</v>
      </c>
      <c r="AE40" s="6">
        <f t="shared" si="13"/>
        <v>5328.400000000001</v>
      </c>
      <c r="AF40" s="6">
        <f t="shared" si="14"/>
        <v>1477.002750620189</v>
      </c>
      <c r="AG40" s="7">
        <f t="shared" si="15"/>
        <v>-1000000</v>
      </c>
      <c r="AH40" s="8"/>
      <c r="AI40" s="8"/>
      <c r="AJ40" s="8"/>
      <c r="AK40" s="8"/>
      <c r="AL40" s="8"/>
      <c r="AM40" s="8"/>
      <c r="AN40" s="8"/>
      <c r="AO40" s="8"/>
      <c r="AP40" s="8"/>
      <c r="AQ40" s="8"/>
      <c r="AR40" s="8"/>
      <c r="AS40" s="8"/>
    </row>
    <row r="41" spans="1:45"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5">
        <f t="shared" si="11"/>
        <v>81</v>
      </c>
      <c r="AB41" s="6">
        <f t="shared" si="12"/>
        <v>4050.1565729997474</v>
      </c>
      <c r="AC41" s="6">
        <f t="shared" si="16"/>
        <v>50.31346649999844</v>
      </c>
      <c r="AD41" s="6">
        <f t="shared" si="17"/>
        <v>50.00193299999688</v>
      </c>
      <c r="AE41" s="6">
        <f t="shared" si="13"/>
        <v>5475.599999999999</v>
      </c>
      <c r="AF41" s="6">
        <f t="shared" si="14"/>
        <v>1425.443427000252</v>
      </c>
      <c r="AG41" s="7">
        <f t="shared" si="15"/>
        <v>-1000000</v>
      </c>
      <c r="AH41" s="8"/>
      <c r="AI41" s="8"/>
      <c r="AJ41" s="8"/>
      <c r="AK41" s="8"/>
      <c r="AL41" s="8"/>
      <c r="AM41" s="8"/>
      <c r="AN41" s="8"/>
      <c r="AO41" s="8"/>
      <c r="AP41" s="8"/>
      <c r="AQ41" s="8"/>
      <c r="AR41" s="8"/>
      <c r="AS41" s="8"/>
    </row>
    <row r="42" spans="1:45"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5">
        <f t="shared" si="11"/>
        <v>85</v>
      </c>
      <c r="AB42" s="6">
        <f t="shared" si="12"/>
        <v>4253.94541707844</v>
      </c>
      <c r="AC42" s="6">
        <f t="shared" si="16"/>
        <v>51.585708335755534</v>
      </c>
      <c r="AD42" s="6">
        <f t="shared" si="17"/>
        <v>50.04641667151106</v>
      </c>
      <c r="AE42" s="6">
        <f t="shared" si="13"/>
        <v>5610</v>
      </c>
      <c r="AF42" s="6">
        <f t="shared" si="14"/>
        <v>1356.0545829215598</v>
      </c>
      <c r="AG42" s="7">
        <f t="shared" si="15"/>
        <v>-1000000</v>
      </c>
      <c r="AH42" s="8"/>
      <c r="AI42" s="8"/>
      <c r="AJ42" s="8"/>
      <c r="AK42" s="8"/>
      <c r="AL42" s="8"/>
      <c r="AM42" s="8"/>
      <c r="AN42" s="8"/>
      <c r="AO42" s="8"/>
      <c r="AP42" s="8"/>
      <c r="AQ42" s="8"/>
      <c r="AR42" s="8"/>
      <c r="AS42" s="8"/>
    </row>
    <row r="43" spans="1:45"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5">
        <f t="shared" si="11"/>
        <v>89</v>
      </c>
      <c r="AB43" s="6">
        <f t="shared" si="12"/>
        <v>4462.878081297198</v>
      </c>
      <c r="AC43" s="6">
        <f t="shared" si="16"/>
        <v>52.88484877133258</v>
      </c>
      <c r="AD43" s="6">
        <f t="shared" si="17"/>
        <v>50.14469754266515</v>
      </c>
      <c r="AE43" s="6">
        <f t="shared" si="13"/>
        <v>5731.6</v>
      </c>
      <c r="AF43" s="6">
        <f t="shared" si="14"/>
        <v>1268.7219187028022</v>
      </c>
      <c r="AG43" s="7">
        <f t="shared" si="15"/>
        <v>-1000000</v>
      </c>
      <c r="AH43" s="8"/>
      <c r="AI43" s="8"/>
      <c r="AJ43" s="8"/>
      <c r="AK43" s="8"/>
      <c r="AL43" s="8"/>
      <c r="AM43" s="8"/>
      <c r="AN43" s="8"/>
      <c r="AO43" s="8"/>
      <c r="AP43" s="8"/>
      <c r="AQ43" s="8"/>
      <c r="AR43" s="8"/>
      <c r="AS43" s="8"/>
    </row>
    <row r="44" spans="1:45"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5">
        <f t="shared" si="11"/>
        <v>93</v>
      </c>
      <c r="AB44" s="6">
        <f t="shared" si="12"/>
        <v>4677.056153713043</v>
      </c>
      <c r="AC44" s="6">
        <f t="shared" si="16"/>
        <v>54.20796319200561</v>
      </c>
      <c r="AD44" s="6">
        <f t="shared" si="17"/>
        <v>50.290926384011215</v>
      </c>
      <c r="AE44" s="6">
        <f t="shared" si="13"/>
        <v>5840.4</v>
      </c>
      <c r="AF44" s="6">
        <f t="shared" si="14"/>
        <v>1163.3438462869562</v>
      </c>
      <c r="AG44" s="7">
        <f t="shared" si="15"/>
        <v>-1000000</v>
      </c>
      <c r="AH44" s="8"/>
      <c r="AI44" s="8"/>
      <c r="AJ44" s="8"/>
      <c r="AK44" s="8"/>
      <c r="AL44" s="8"/>
      <c r="AM44" s="8"/>
      <c r="AN44" s="8"/>
      <c r="AO44" s="8"/>
      <c r="AP44" s="8"/>
      <c r="AQ44" s="8"/>
      <c r="AR44" s="8"/>
      <c r="AS44" s="8"/>
    </row>
    <row r="45" spans="1:45"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5">
        <f t="shared" si="11"/>
        <v>97</v>
      </c>
      <c r="AB45" s="6">
        <f t="shared" si="12"/>
        <v>4896.5704060726985</v>
      </c>
      <c r="AC45" s="6">
        <f t="shared" si="16"/>
        <v>55.55255363955</v>
      </c>
      <c r="AD45" s="6">
        <f t="shared" si="17"/>
        <v>50.48010727909999</v>
      </c>
      <c r="AE45" s="6">
        <f t="shared" si="13"/>
        <v>5936.4</v>
      </c>
      <c r="AF45" s="6">
        <f t="shared" si="14"/>
        <v>1039.8295939273012</v>
      </c>
      <c r="AG45" s="7">
        <f t="shared" si="15"/>
        <v>-1000000</v>
      </c>
      <c r="AH45" s="8"/>
      <c r="AI45" s="8"/>
      <c r="AJ45" s="8"/>
      <c r="AK45" s="8"/>
      <c r="AL45" s="8"/>
      <c r="AM45" s="8"/>
      <c r="AN45" s="8"/>
      <c r="AO45" s="8"/>
      <c r="AP45" s="8"/>
      <c r="AQ45" s="8"/>
      <c r="AR45" s="8"/>
      <c r="AS45" s="8"/>
    </row>
    <row r="46" spans="1:45"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5">
        <f t="shared" si="11"/>
        <v>101</v>
      </c>
      <c r="AB46" s="6">
        <f t="shared" si="12"/>
        <v>5121.502340565898</v>
      </c>
      <c r="AC46" s="6">
        <f t="shared" si="16"/>
        <v>56.9164719829995</v>
      </c>
      <c r="AD46" s="6">
        <f t="shared" si="17"/>
        <v>50.707943965998986</v>
      </c>
      <c r="AE46" s="6">
        <f t="shared" si="13"/>
        <v>6019.599999999999</v>
      </c>
      <c r="AF46" s="6">
        <f t="shared" si="14"/>
        <v>898.0976594341018</v>
      </c>
      <c r="AG46" s="7">
        <f t="shared" si="15"/>
        <v>-1000000</v>
      </c>
      <c r="AH46" s="8"/>
      <c r="AI46" s="8"/>
      <c r="AJ46" s="8"/>
      <c r="AK46" s="8"/>
      <c r="AL46" s="8"/>
      <c r="AM46" s="8"/>
      <c r="AN46" s="8"/>
      <c r="AO46" s="8"/>
      <c r="AP46" s="8"/>
      <c r="AQ46" s="8"/>
      <c r="AR46" s="8"/>
      <c r="AS46" s="8"/>
    </row>
    <row r="47" spans="1:45"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5">
        <f t="shared" si="11"/>
        <v>105</v>
      </c>
      <c r="AB47" s="6">
        <f t="shared" si="12"/>
        <v>5351.925463303893</v>
      </c>
      <c r="AC47" s="6">
        <f t="shared" si="16"/>
        <v>58.29785934906616</v>
      </c>
      <c r="AD47" s="6">
        <f t="shared" si="17"/>
        <v>50.970718698132316</v>
      </c>
      <c r="AE47" s="6">
        <f t="shared" si="13"/>
        <v>6090</v>
      </c>
      <c r="AF47" s="6">
        <f t="shared" si="14"/>
        <v>738.0745366961073</v>
      </c>
      <c r="AG47" s="7">
        <f t="shared" si="15"/>
        <v>-1000000</v>
      </c>
      <c r="AH47" s="8"/>
      <c r="AI47" s="8"/>
      <c r="AJ47" s="8"/>
      <c r="AK47" s="8"/>
      <c r="AL47" s="8"/>
      <c r="AM47" s="8"/>
      <c r="AN47" s="8"/>
      <c r="AO47" s="8"/>
      <c r="AP47" s="8"/>
      <c r="AQ47" s="8"/>
      <c r="AR47" s="8"/>
      <c r="AS47" s="8"/>
    </row>
    <row r="48" spans="1:45"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5">
        <f t="shared" si="11"/>
        <v>109</v>
      </c>
      <c r="AB48" s="6">
        <f t="shared" si="12"/>
        <v>5587.906341314334</v>
      </c>
      <c r="AC48" s="6">
        <f t="shared" si="16"/>
        <v>59.695097895937316</v>
      </c>
      <c r="AD48" s="6">
        <f t="shared" si="17"/>
        <v>51.26519579187462</v>
      </c>
      <c r="AE48" s="6">
        <f t="shared" si="13"/>
        <v>6147.599999999999</v>
      </c>
      <c r="AF48" s="6">
        <f t="shared" si="14"/>
        <v>559.6936586856655</v>
      </c>
      <c r="AG48" s="7">
        <f t="shared" si="15"/>
        <v>-1000000</v>
      </c>
      <c r="AH48" s="8"/>
      <c r="AI48" s="8"/>
      <c r="AJ48" s="8"/>
      <c r="AK48" s="8"/>
      <c r="AL48" s="8"/>
      <c r="AM48" s="8"/>
      <c r="AN48" s="8"/>
      <c r="AO48" s="8"/>
      <c r="AP48" s="8"/>
      <c r="AQ48" s="8"/>
      <c r="AR48" s="8"/>
      <c r="AS48" s="8"/>
    </row>
    <row r="49" spans="1:45"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5">
        <f t="shared" si="11"/>
        <v>113</v>
      </c>
      <c r="AB49" s="6">
        <f t="shared" si="12"/>
        <v>5829.505486401256</v>
      </c>
      <c r="AC49" s="6">
        <f t="shared" si="16"/>
        <v>61.106772063722374</v>
      </c>
      <c r="AD49" s="6">
        <f t="shared" si="17"/>
        <v>51.58854412744475</v>
      </c>
      <c r="AE49" s="6">
        <f t="shared" si="13"/>
        <v>6192.4</v>
      </c>
      <c r="AF49" s="6">
        <f t="shared" si="14"/>
        <v>362.8945135987433</v>
      </c>
      <c r="AG49" s="7">
        <f t="shared" si="15"/>
        <v>-1000000</v>
      </c>
      <c r="AH49" s="8"/>
      <c r="AI49" s="8"/>
      <c r="AJ49" s="8"/>
      <c r="AK49" s="8"/>
      <c r="AL49" s="8"/>
      <c r="AM49" s="8"/>
      <c r="AN49" s="8"/>
      <c r="AO49" s="8"/>
      <c r="AP49" s="8"/>
      <c r="AQ49" s="8"/>
      <c r="AR49" s="8"/>
      <c r="AS49" s="8"/>
    </row>
    <row r="50" spans="1:45"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5">
        <f t="shared" si="11"/>
        <v>117</v>
      </c>
      <c r="AB50" s="6">
        <f t="shared" si="12"/>
        <v>6076.778099319419</v>
      </c>
      <c r="AC50" s="6">
        <f t="shared" si="16"/>
        <v>62.53163717657871</v>
      </c>
      <c r="AD50" s="6">
        <f t="shared" si="17"/>
        <v>51.93827435315743</v>
      </c>
      <c r="AE50" s="6">
        <f t="shared" si="13"/>
        <v>6224.4</v>
      </c>
      <c r="AF50" s="6">
        <f t="shared" si="14"/>
        <v>147.62190068058044</v>
      </c>
      <c r="AG50" s="7">
        <f t="shared" si="15"/>
        <v>-1000000</v>
      </c>
      <c r="AH50" s="8"/>
      <c r="AI50" s="8"/>
      <c r="AJ50" s="8"/>
      <c r="AK50" s="8"/>
      <c r="AL50" s="8"/>
      <c r="AM50" s="8"/>
      <c r="AN50" s="8"/>
      <c r="AO50" s="8"/>
      <c r="AP50" s="8"/>
      <c r="AQ50" s="8"/>
      <c r="AR50" s="8"/>
      <c r="AS50" s="8"/>
    </row>
    <row r="51" spans="1:45"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5">
        <f t="shared" si="11"/>
        <v>121</v>
      </c>
      <c r="AB51" s="6">
        <f t="shared" si="12"/>
        <v>6329.774700333024</v>
      </c>
      <c r="AC51" s="6">
        <f t="shared" si="16"/>
        <v>63.96859380302903</v>
      </c>
      <c r="AD51" s="6">
        <f t="shared" si="17"/>
        <v>52.31218760605806</v>
      </c>
      <c r="AE51" s="6">
        <f t="shared" si="13"/>
        <v>6243.599999999999</v>
      </c>
      <c r="AF51" s="6">
        <f t="shared" si="14"/>
        <v>-86.1747003330247</v>
      </c>
      <c r="AG51" s="7">
        <f t="shared" si="15"/>
        <v>-1000000</v>
      </c>
      <c r="AH51" s="8"/>
      <c r="AI51" s="8"/>
      <c r="AJ51" s="8"/>
      <c r="AK51" s="8"/>
      <c r="AL51" s="8"/>
      <c r="AM51" s="8"/>
      <c r="AN51" s="8"/>
      <c r="AO51" s="8"/>
      <c r="AP51" s="8"/>
      <c r="AQ51" s="8"/>
      <c r="AR51" s="8"/>
      <c r="AS51" s="8"/>
    </row>
    <row r="52" spans="1:45"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5">
        <f t="shared" si="11"/>
        <v>125</v>
      </c>
      <c r="AB52" s="6">
        <f t="shared" si="12"/>
        <v>6588.541666666666</v>
      </c>
      <c r="AC52" s="6">
        <f t="shared" si="16"/>
        <v>65.41666666666667</v>
      </c>
      <c r="AD52" s="6">
        <f t="shared" si="17"/>
        <v>52.70833333333333</v>
      </c>
      <c r="AE52" s="6">
        <f t="shared" si="13"/>
        <v>6250</v>
      </c>
      <c r="AF52" s="6">
        <f t="shared" si="14"/>
        <v>-338.54166666666606</v>
      </c>
      <c r="AG52" s="7">
        <f t="shared" si="15"/>
        <v>-1000000</v>
      </c>
      <c r="AH52" s="8"/>
      <c r="AI52" s="8"/>
      <c r="AJ52" s="8"/>
      <c r="AK52" s="8"/>
      <c r="AL52" s="8"/>
      <c r="AM52" s="8"/>
      <c r="AN52" s="8"/>
      <c r="AO52" s="8"/>
      <c r="AP52" s="8"/>
      <c r="AQ52" s="8"/>
      <c r="AR52" s="8"/>
      <c r="AS52" s="8"/>
    </row>
    <row r="53" spans="1:45"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5">
        <f t="shared" si="11"/>
        <v>129</v>
      </c>
      <c r="AB53" s="6">
        <f t="shared" si="12"/>
        <v>6853.121693120078</v>
      </c>
      <c r="AC53" s="6">
        <f t="shared" si="16"/>
        <v>66.87498718263596</v>
      </c>
      <c r="AD53" s="6">
        <f t="shared" si="17"/>
        <v>53.124974365271925</v>
      </c>
      <c r="AE53" s="6">
        <f t="shared" si="13"/>
        <v>6243.599999999999</v>
      </c>
      <c r="AF53" s="6">
        <f t="shared" si="14"/>
        <v>-609.5216931200785</v>
      </c>
      <c r="AG53" s="7">
        <f t="shared" si="15"/>
        <v>-1000000</v>
      </c>
      <c r="AH53" s="8"/>
      <c r="AI53" s="8"/>
      <c r="AJ53" s="8"/>
      <c r="AK53" s="8"/>
      <c r="AL53" s="8"/>
      <c r="AM53" s="8"/>
      <c r="AN53" s="8"/>
      <c r="AO53" s="8"/>
      <c r="AP53" s="8"/>
      <c r="AQ53" s="8"/>
      <c r="AR53" s="8"/>
      <c r="AS53" s="8"/>
    </row>
    <row r="54" spans="1:45"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5">
        <f t="shared" si="11"/>
        <v>133</v>
      </c>
      <c r="AB54" s="6">
        <f t="shared" si="12"/>
        <v>7123.5541888607</v>
      </c>
      <c r="AC54" s="6">
        <f t="shared" si="16"/>
        <v>68.34277890549136</v>
      </c>
      <c r="AD54" s="6">
        <f t="shared" si="17"/>
        <v>53.56055781098271</v>
      </c>
      <c r="AE54" s="6">
        <f t="shared" si="13"/>
        <v>6224.4</v>
      </c>
      <c r="AF54" s="6">
        <f t="shared" si="14"/>
        <v>-899.1541888607007</v>
      </c>
      <c r="AG54" s="7">
        <f t="shared" si="15"/>
        <v>-1000000</v>
      </c>
      <c r="AH54" s="8"/>
      <c r="AI54" s="8"/>
      <c r="AJ54" s="8"/>
      <c r="AK54" s="8"/>
      <c r="AL54" s="8"/>
      <c r="AM54" s="8"/>
      <c r="AN54" s="8"/>
      <c r="AO54" s="8"/>
      <c r="AP54" s="8"/>
      <c r="AQ54" s="8"/>
      <c r="AR54" s="8"/>
      <c r="AS54" s="8"/>
    </row>
    <row r="55" spans="1:45"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5">
        <f t="shared" si="11"/>
        <v>137</v>
      </c>
      <c r="AB55" s="6">
        <f t="shared" si="12"/>
        <v>7399.875620880641</v>
      </c>
      <c r="AC55" s="6">
        <f t="shared" si="16"/>
        <v>69.81934533168118</v>
      </c>
      <c r="AD55" s="6">
        <f t="shared" si="17"/>
        <v>54.01369066336234</v>
      </c>
      <c r="AE55" s="6">
        <f t="shared" si="13"/>
        <v>6192.4</v>
      </c>
      <c r="AF55" s="6">
        <f t="shared" si="14"/>
        <v>-1207.4756208806411</v>
      </c>
      <c r="AG55" s="7">
        <f t="shared" si="15"/>
        <v>-1000000</v>
      </c>
      <c r="AH55" s="8"/>
      <c r="AI55" s="8"/>
      <c r="AJ55" s="8"/>
      <c r="AK55" s="8"/>
      <c r="AL55" s="8"/>
      <c r="AM55" s="8"/>
      <c r="AN55" s="8"/>
      <c r="AO55" s="8"/>
      <c r="AP55" s="8"/>
      <c r="AQ55" s="8"/>
      <c r="AR55" s="8"/>
      <c r="AS55" s="8"/>
    </row>
    <row r="56" spans="1:45"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5"/>
      <c r="AB56" s="6"/>
      <c r="AC56" s="6"/>
      <c r="AD56" s="6"/>
      <c r="AE56" s="6"/>
      <c r="AF56" s="6">
        <f>MAX(AF2:AF55)</f>
        <v>1527.1682505324393</v>
      </c>
      <c r="AG56" s="7"/>
      <c r="AH56" s="8"/>
      <c r="AI56" s="8"/>
      <c r="AJ56" s="8"/>
      <c r="AK56" s="8"/>
      <c r="AL56" s="8"/>
      <c r="AM56" s="8"/>
      <c r="AN56" s="8"/>
      <c r="AO56" s="8"/>
      <c r="AP56" s="8"/>
      <c r="AQ56" s="8"/>
      <c r="AR56" s="8"/>
      <c r="AS56" s="8"/>
    </row>
    <row r="57" spans="1:45"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row>
    <row r="58" spans="1:45"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row>
    <row r="59" spans="1:45"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row>
    <row r="60" spans="1:45"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row>
    <row r="61" spans="1:45"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row>
    <row r="62" spans="1:45"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row>
    <row r="63" spans="1:45"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row>
    <row r="64" spans="1:45"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row>
    <row r="65" spans="1:45"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row>
    <row r="66" spans="1:45"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row>
    <row r="67" spans="1:45"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row>
    <row r="68" spans="1:45"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row>
    <row r="69" spans="1:45"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row>
    <row r="70" spans="1:45"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row>
    <row r="71" spans="1:45"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row>
    <row r="72" spans="5:45" ht="13.5" customHeight="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row>
    <row r="73" spans="5:45" ht="13.5" customHeight="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row>
    <row r="74" spans="5:45" ht="13.5" customHeight="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row>
    <row r="75" spans="5:45" ht="13.5" customHeight="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row>
  </sheetData>
  <mergeCells count="6">
    <mergeCell ref="A7:B7"/>
    <mergeCell ref="A6:B6"/>
    <mergeCell ref="A3:B3"/>
    <mergeCell ref="A4:B4"/>
    <mergeCell ref="A5:B5"/>
    <mergeCell ref="A1:F1"/>
  </mergeCells>
  <printOptions/>
  <pageMargins left="0.75" right="0.75" top="1" bottom="1" header="0.5" footer="0.5"/>
  <pageSetup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AS150"/>
  <sheetViews>
    <sheetView workbookViewId="0" topLeftCell="A1">
      <selection activeCell="A1" sqref="A1:F1"/>
    </sheetView>
  </sheetViews>
  <sheetFormatPr defaultColWidth="9.140625" defaultRowHeight="15"/>
  <cols>
    <col min="1" max="1" width="13.140625" style="0" customWidth="1"/>
    <col min="2" max="2" width="9.28125" style="0" customWidth="1"/>
    <col min="3" max="3" width="10.140625" style="0" bestFit="1" customWidth="1"/>
    <col min="4" max="8" width="9.28125" style="0" customWidth="1"/>
  </cols>
  <sheetData>
    <row r="1" spans="1:45" s="2" customFormat="1" ht="18" customHeight="1">
      <c r="A1" s="85" t="s">
        <v>86</v>
      </c>
      <c r="B1" s="85"/>
      <c r="C1" s="85"/>
      <c r="D1" s="85"/>
      <c r="E1" s="85"/>
      <c r="F1" s="85"/>
      <c r="G1" s="14"/>
      <c r="H1" s="14"/>
      <c r="I1" s="14"/>
      <c r="J1" s="14"/>
      <c r="K1" s="14"/>
      <c r="L1" s="14"/>
      <c r="M1" s="14"/>
      <c r="N1" s="14"/>
      <c r="O1" s="14"/>
      <c r="P1" s="14"/>
      <c r="Q1" s="14"/>
      <c r="R1" s="14"/>
      <c r="S1" s="14"/>
      <c r="T1" s="14"/>
      <c r="U1" s="14"/>
      <c r="V1" s="14"/>
      <c r="W1" s="14"/>
      <c r="X1" s="14"/>
      <c r="Y1" s="14"/>
      <c r="Z1" s="14"/>
      <c r="AA1" s="68" t="s">
        <v>29</v>
      </c>
      <c r="AB1" s="69" t="s">
        <v>5</v>
      </c>
      <c r="AC1" s="69" t="s">
        <v>7</v>
      </c>
      <c r="AD1" s="69" t="s">
        <v>10</v>
      </c>
      <c r="AE1" s="69" t="s">
        <v>31</v>
      </c>
      <c r="AF1" s="69" t="s">
        <v>36</v>
      </c>
      <c r="AG1" s="69" t="s">
        <v>37</v>
      </c>
      <c r="AH1" s="69" t="s">
        <v>38</v>
      </c>
      <c r="AI1" s="69" t="s">
        <v>39</v>
      </c>
      <c r="AJ1" s="69" t="s">
        <v>40</v>
      </c>
      <c r="AK1" s="70" t="s">
        <v>41</v>
      </c>
      <c r="AL1" s="12"/>
      <c r="AM1" s="12" t="s">
        <v>13</v>
      </c>
      <c r="AN1" s="12">
        <f>C4/(3*C3)</f>
        <v>0.20833333333333334</v>
      </c>
      <c r="AO1" s="12" t="s">
        <v>14</v>
      </c>
      <c r="AP1" s="14"/>
      <c r="AQ1" s="14"/>
      <c r="AR1" s="14"/>
      <c r="AS1" s="14"/>
    </row>
    <row r="2" spans="1:45" s="2" customFormat="1" ht="13.5" customHeight="1">
      <c r="A2" s="21"/>
      <c r="B2" s="21"/>
      <c r="C2" s="21"/>
      <c r="D2" s="12"/>
      <c r="E2" s="13"/>
      <c r="F2" s="13"/>
      <c r="G2" s="14"/>
      <c r="H2" s="14"/>
      <c r="I2" s="14"/>
      <c r="J2" s="14"/>
      <c r="K2" s="14"/>
      <c r="L2" s="14"/>
      <c r="M2" s="14"/>
      <c r="N2" s="14"/>
      <c r="O2" s="14"/>
      <c r="P2" s="14"/>
      <c r="Q2" s="14"/>
      <c r="R2" s="14"/>
      <c r="S2" s="14"/>
      <c r="T2" s="14"/>
      <c r="U2" s="14"/>
      <c r="V2" s="14"/>
      <c r="W2" s="14"/>
      <c r="X2" s="14"/>
      <c r="Y2" s="14"/>
      <c r="Z2" s="14"/>
      <c r="AA2" s="16">
        <v>0</v>
      </c>
      <c r="AB2" s="17">
        <f aca="true" t="shared" si="0" ref="AB2:AB33">AN$1*AA2^2+AN$2*AA2^0.5</f>
        <v>0</v>
      </c>
      <c r="AC2" s="17"/>
      <c r="AD2" s="17"/>
      <c r="AE2" s="17"/>
      <c r="AF2" s="17"/>
      <c r="AG2" s="17"/>
      <c r="AH2" s="17">
        <f aca="true" t="shared" si="1" ref="AH2:AH33">C$5-0.4*AA2</f>
        <v>100</v>
      </c>
      <c r="AI2" s="17">
        <f aca="true" t="shared" si="2" ref="AI2:AI33">IF($AA2&lt;=$C$13,C$14,-100000)</f>
        <v>50.321742969776025</v>
      </c>
      <c r="AJ2" s="17">
        <f aca="true" t="shared" si="3" ref="AJ2:AJ33">C$5-0.8*AA2</f>
        <v>100</v>
      </c>
      <c r="AK2" s="18">
        <f aca="true" t="shared" si="4" ref="AK2:AK33">IF(AI2&gt;0,C$16,-100000)</f>
        <v>72.8</v>
      </c>
      <c r="AL2" s="12"/>
      <c r="AM2" s="12" t="s">
        <v>15</v>
      </c>
      <c r="AN2" s="12">
        <f>(C4-AN1*C3)*C3^0.5</f>
        <v>298.14239699997194</v>
      </c>
      <c r="AO2" s="12" t="s">
        <v>16</v>
      </c>
      <c r="AP2" s="14"/>
      <c r="AQ2" s="14"/>
      <c r="AR2" s="14"/>
      <c r="AS2" s="14"/>
    </row>
    <row r="3" spans="1:45" s="2" customFormat="1" ht="13.5" customHeight="1">
      <c r="A3" s="77" t="s">
        <v>67</v>
      </c>
      <c r="B3" s="78"/>
      <c r="C3" s="60">
        <v>80</v>
      </c>
      <c r="D3" s="12"/>
      <c r="E3" s="13"/>
      <c r="F3" s="13"/>
      <c r="G3" s="14"/>
      <c r="H3" s="14"/>
      <c r="I3" s="14"/>
      <c r="J3" s="14"/>
      <c r="K3" s="14"/>
      <c r="L3" s="14"/>
      <c r="M3" s="14"/>
      <c r="N3" s="14"/>
      <c r="O3" s="14"/>
      <c r="P3" s="14"/>
      <c r="Q3" s="14"/>
      <c r="R3" s="14"/>
      <c r="S3" s="14"/>
      <c r="T3" s="14"/>
      <c r="U3" s="14"/>
      <c r="V3" s="14"/>
      <c r="W3" s="14"/>
      <c r="X3" s="14"/>
      <c r="Y3" s="14"/>
      <c r="Z3" s="14"/>
      <c r="AA3" s="16">
        <f aca="true" t="shared" si="5" ref="AA3:AA34">AA2+$C$6</f>
        <v>4</v>
      </c>
      <c r="AB3" s="17">
        <f t="shared" si="0"/>
        <v>599.6181273332772</v>
      </c>
      <c r="AC3" s="17">
        <f aca="true" t="shared" si="6" ref="AC3:AC34">2*AN$1*AA3+0.5*AN$2*AA3^-0.5</f>
        <v>76.20226591665966</v>
      </c>
      <c r="AD3" s="17">
        <f aca="true" t="shared" si="7" ref="AD3:AD34">AN$1*AA3+AN$2*AA3^-0.5</f>
        <v>149.9045318333193</v>
      </c>
      <c r="AE3" s="17">
        <f aca="true" t="shared" si="8" ref="AE3:AE34">(AH3-AD3)*AA3</f>
        <v>-206.01812733327722</v>
      </c>
      <c r="AF3" s="17">
        <f aca="true" t="shared" si="9" ref="AF3:AF34">IF(AE3&lt;AE$56,AA3,-1000000)</f>
        <v>4</v>
      </c>
      <c r="AG3" s="17">
        <f aca="true" t="shared" si="10" ref="AG3:AG34">IF(AF3&gt;0,-100000,AA3)</f>
        <v>-100000</v>
      </c>
      <c r="AH3" s="17">
        <f t="shared" si="1"/>
        <v>98.4</v>
      </c>
      <c r="AI3" s="17">
        <f t="shared" si="2"/>
        <v>50.321742969776025</v>
      </c>
      <c r="AJ3" s="17">
        <f t="shared" si="3"/>
        <v>96.8</v>
      </c>
      <c r="AK3" s="18">
        <f t="shared" si="4"/>
        <v>72.8</v>
      </c>
      <c r="AL3" s="12"/>
      <c r="AM3" s="12"/>
      <c r="AN3" s="12"/>
      <c r="AO3" s="12"/>
      <c r="AP3" s="14"/>
      <c r="AQ3" s="14"/>
      <c r="AR3" s="14"/>
      <c r="AS3" s="14"/>
    </row>
    <row r="4" spans="1:45" s="2" customFormat="1" ht="13.5" customHeight="1">
      <c r="A4" s="77" t="s">
        <v>68</v>
      </c>
      <c r="B4" s="78"/>
      <c r="C4" s="61">
        <v>50</v>
      </c>
      <c r="D4" s="12"/>
      <c r="E4" s="13"/>
      <c r="F4" s="13"/>
      <c r="G4" s="14"/>
      <c r="H4" s="14"/>
      <c r="I4" s="14"/>
      <c r="J4" s="14"/>
      <c r="K4" s="14"/>
      <c r="L4" s="14"/>
      <c r="M4" s="14"/>
      <c r="N4" s="14"/>
      <c r="O4" s="14"/>
      <c r="P4" s="14"/>
      <c r="Q4" s="14"/>
      <c r="R4" s="14"/>
      <c r="S4" s="14"/>
      <c r="T4" s="14"/>
      <c r="U4" s="14"/>
      <c r="V4" s="14"/>
      <c r="W4" s="14"/>
      <c r="X4" s="14"/>
      <c r="Y4" s="14"/>
      <c r="Z4" s="14"/>
      <c r="AA4" s="16">
        <f t="shared" si="5"/>
        <v>8</v>
      </c>
      <c r="AB4" s="17">
        <f t="shared" si="0"/>
        <v>856.6073760449012</v>
      </c>
      <c r="AC4" s="17">
        <f t="shared" si="6"/>
        <v>56.03796100280631</v>
      </c>
      <c r="AD4" s="17">
        <f t="shared" si="7"/>
        <v>107.07592200561263</v>
      </c>
      <c r="AE4" s="17">
        <f t="shared" si="8"/>
        <v>-82.20737604490103</v>
      </c>
      <c r="AF4" s="17">
        <f t="shared" si="9"/>
        <v>8</v>
      </c>
      <c r="AG4" s="17">
        <f t="shared" si="10"/>
        <v>-100000</v>
      </c>
      <c r="AH4" s="17">
        <f t="shared" si="1"/>
        <v>96.8</v>
      </c>
      <c r="AI4" s="17">
        <f t="shared" si="2"/>
        <v>50.321742969776025</v>
      </c>
      <c r="AJ4" s="17">
        <f t="shared" si="3"/>
        <v>93.6</v>
      </c>
      <c r="AK4" s="18">
        <f t="shared" si="4"/>
        <v>72.8</v>
      </c>
      <c r="AL4" s="14"/>
      <c r="AM4" s="14"/>
      <c r="AN4" s="14"/>
      <c r="AO4" s="12"/>
      <c r="AP4" s="14"/>
      <c r="AQ4" s="14"/>
      <c r="AR4" s="14"/>
      <c r="AS4" s="14"/>
    </row>
    <row r="5" spans="1:45" s="2" customFormat="1" ht="13.5" customHeight="1">
      <c r="A5" s="77" t="s">
        <v>66</v>
      </c>
      <c r="B5" s="78"/>
      <c r="C5" s="61">
        <v>100</v>
      </c>
      <c r="D5" s="12"/>
      <c r="E5" s="13"/>
      <c r="F5" s="13"/>
      <c r="G5" s="14"/>
      <c r="H5" s="14"/>
      <c r="I5" s="14"/>
      <c r="J5" s="14"/>
      <c r="K5" s="14"/>
      <c r="L5" s="14"/>
      <c r="M5" s="14"/>
      <c r="N5" s="14"/>
      <c r="O5" s="14"/>
      <c r="P5" s="14"/>
      <c r="Q5" s="14"/>
      <c r="R5" s="14"/>
      <c r="S5" s="14"/>
      <c r="T5" s="14"/>
      <c r="U5" s="14"/>
      <c r="V5" s="14"/>
      <c r="W5" s="14"/>
      <c r="X5" s="14"/>
      <c r="Y5" s="14"/>
      <c r="Z5" s="14"/>
      <c r="AA5" s="16">
        <f t="shared" si="5"/>
        <v>12</v>
      </c>
      <c r="AB5" s="17">
        <f t="shared" si="0"/>
        <v>1062.7955589886444</v>
      </c>
      <c r="AC5" s="17">
        <f t="shared" si="6"/>
        <v>48.03314829119353</v>
      </c>
      <c r="AD5" s="17">
        <f t="shared" si="7"/>
        <v>88.56629658238705</v>
      </c>
      <c r="AE5" s="17">
        <f t="shared" si="8"/>
        <v>79.60444101135539</v>
      </c>
      <c r="AF5" s="17">
        <f t="shared" si="9"/>
        <v>12</v>
      </c>
      <c r="AG5" s="17">
        <f t="shared" si="10"/>
        <v>-100000</v>
      </c>
      <c r="AH5" s="17">
        <f t="shared" si="1"/>
        <v>95.2</v>
      </c>
      <c r="AI5" s="17">
        <f t="shared" si="2"/>
        <v>50.321742969776025</v>
      </c>
      <c r="AJ5" s="17">
        <f t="shared" si="3"/>
        <v>90.4</v>
      </c>
      <c r="AK5" s="18">
        <f t="shared" si="4"/>
        <v>72.8</v>
      </c>
      <c r="AL5" s="14"/>
      <c r="AM5" s="14"/>
      <c r="AN5" s="14"/>
      <c r="AO5" s="12"/>
      <c r="AP5" s="14"/>
      <c r="AQ5" s="14"/>
      <c r="AR5" s="14"/>
      <c r="AS5" s="14"/>
    </row>
    <row r="6" spans="1:45" s="2" customFormat="1" ht="13.5" customHeight="1">
      <c r="A6" s="74" t="s">
        <v>24</v>
      </c>
      <c r="B6" s="74"/>
      <c r="C6" s="60">
        <v>4</v>
      </c>
      <c r="D6" s="21"/>
      <c r="E6" s="13"/>
      <c r="F6" s="13"/>
      <c r="G6" s="14"/>
      <c r="H6" s="14"/>
      <c r="I6" s="14"/>
      <c r="J6" s="14"/>
      <c r="K6" s="14"/>
      <c r="L6" s="14"/>
      <c r="M6" s="14"/>
      <c r="N6" s="14"/>
      <c r="O6" s="14"/>
      <c r="P6" s="14"/>
      <c r="Q6" s="14"/>
      <c r="R6" s="14"/>
      <c r="S6" s="14"/>
      <c r="T6" s="14"/>
      <c r="U6" s="14"/>
      <c r="V6" s="14"/>
      <c r="W6" s="14"/>
      <c r="X6" s="14"/>
      <c r="Y6" s="14"/>
      <c r="Z6" s="14"/>
      <c r="AA6" s="16">
        <f t="shared" si="5"/>
        <v>16</v>
      </c>
      <c r="AB6" s="17">
        <f t="shared" si="0"/>
        <v>1245.902921333221</v>
      </c>
      <c r="AC6" s="17">
        <f t="shared" si="6"/>
        <v>43.934466291663156</v>
      </c>
      <c r="AD6" s="17">
        <f t="shared" si="7"/>
        <v>77.86893258332631</v>
      </c>
      <c r="AE6" s="17">
        <f t="shared" si="8"/>
        <v>251.6970786667789</v>
      </c>
      <c r="AF6" s="17">
        <f t="shared" si="9"/>
        <v>16</v>
      </c>
      <c r="AG6" s="17">
        <f t="shared" si="10"/>
        <v>-100000</v>
      </c>
      <c r="AH6" s="17">
        <f t="shared" si="1"/>
        <v>93.6</v>
      </c>
      <c r="AI6" s="17">
        <f t="shared" si="2"/>
        <v>50.321742969776025</v>
      </c>
      <c r="AJ6" s="17">
        <f t="shared" si="3"/>
        <v>87.2</v>
      </c>
      <c r="AK6" s="18">
        <f t="shared" si="4"/>
        <v>72.8</v>
      </c>
      <c r="AL6" s="12"/>
      <c r="AM6" s="12"/>
      <c r="AN6" s="12"/>
      <c r="AO6" s="12"/>
      <c r="AP6" s="14"/>
      <c r="AQ6" s="14"/>
      <c r="AR6" s="14"/>
      <c r="AS6" s="14"/>
    </row>
    <row r="7" spans="1:45" s="2" customFormat="1" ht="13.5" customHeight="1">
      <c r="A7" s="21"/>
      <c r="B7" s="21"/>
      <c r="C7" s="21"/>
      <c r="D7" s="21"/>
      <c r="E7" s="13"/>
      <c r="F7" s="13"/>
      <c r="G7" s="14"/>
      <c r="H7" s="14"/>
      <c r="I7" s="14"/>
      <c r="J7" s="14"/>
      <c r="K7" s="14"/>
      <c r="L7" s="14"/>
      <c r="M7" s="14"/>
      <c r="N7" s="14"/>
      <c r="O7" s="14"/>
      <c r="P7" s="14"/>
      <c r="Q7" s="14"/>
      <c r="R7" s="14"/>
      <c r="S7" s="14"/>
      <c r="T7" s="14"/>
      <c r="U7" s="14"/>
      <c r="V7" s="14"/>
      <c r="W7" s="14"/>
      <c r="X7" s="14"/>
      <c r="Y7" s="14"/>
      <c r="Z7" s="14"/>
      <c r="AA7" s="16">
        <f t="shared" si="5"/>
        <v>20</v>
      </c>
      <c r="AB7" s="17">
        <f t="shared" si="0"/>
        <v>1416.6666666666665</v>
      </c>
      <c r="AC7" s="17">
        <f t="shared" si="6"/>
        <v>41.666666666666664</v>
      </c>
      <c r="AD7" s="17">
        <f t="shared" si="7"/>
        <v>70.83333333333333</v>
      </c>
      <c r="AE7" s="17">
        <f t="shared" si="8"/>
        <v>423.3333333333334</v>
      </c>
      <c r="AF7" s="17">
        <f t="shared" si="9"/>
        <v>20</v>
      </c>
      <c r="AG7" s="17">
        <f t="shared" si="10"/>
        <v>-100000</v>
      </c>
      <c r="AH7" s="17">
        <f t="shared" si="1"/>
        <v>92</v>
      </c>
      <c r="AI7" s="17">
        <f t="shared" si="2"/>
        <v>50.321742969776025</v>
      </c>
      <c r="AJ7" s="17">
        <f t="shared" si="3"/>
        <v>84</v>
      </c>
      <c r="AK7" s="18">
        <f t="shared" si="4"/>
        <v>72.8</v>
      </c>
      <c r="AL7" s="12"/>
      <c r="AM7" s="12"/>
      <c r="AN7" s="12"/>
      <c r="AO7" s="12"/>
      <c r="AP7" s="14"/>
      <c r="AQ7" s="14"/>
      <c r="AR7" s="14"/>
      <c r="AS7" s="14"/>
    </row>
    <row r="8" spans="1:45" s="2" customFormat="1" ht="13.5" customHeight="1">
      <c r="A8" s="21"/>
      <c r="B8" s="21"/>
      <c r="C8" s="21"/>
      <c r="D8" s="21"/>
      <c r="E8" s="13"/>
      <c r="F8" s="13"/>
      <c r="G8" s="14"/>
      <c r="H8" s="14"/>
      <c r="I8" s="14"/>
      <c r="J8" s="14"/>
      <c r="K8" s="14"/>
      <c r="L8" s="14"/>
      <c r="M8" s="14"/>
      <c r="N8" s="14"/>
      <c r="O8" s="14"/>
      <c r="P8" s="14"/>
      <c r="Q8" s="14"/>
      <c r="R8" s="14"/>
      <c r="S8" s="14"/>
      <c r="T8" s="14"/>
      <c r="U8" s="14"/>
      <c r="V8" s="14"/>
      <c r="W8" s="14"/>
      <c r="X8" s="14"/>
      <c r="Y8" s="14"/>
      <c r="Z8" s="14"/>
      <c r="AA8" s="16">
        <f t="shared" si="5"/>
        <v>24</v>
      </c>
      <c r="AB8" s="17">
        <f t="shared" si="0"/>
        <v>1580.5934866804428</v>
      </c>
      <c r="AC8" s="17">
        <f t="shared" si="6"/>
        <v>40.42903097250923</v>
      </c>
      <c r="AD8" s="17">
        <f t="shared" si="7"/>
        <v>65.85806194501846</v>
      </c>
      <c r="AE8" s="17">
        <f t="shared" si="8"/>
        <v>589.006513319557</v>
      </c>
      <c r="AF8" s="17">
        <f t="shared" si="9"/>
        <v>24</v>
      </c>
      <c r="AG8" s="17">
        <f t="shared" si="10"/>
        <v>-100000</v>
      </c>
      <c r="AH8" s="17">
        <f t="shared" si="1"/>
        <v>90.4</v>
      </c>
      <c r="AI8" s="17">
        <f t="shared" si="2"/>
        <v>50.321742969776025</v>
      </c>
      <c r="AJ8" s="17">
        <f t="shared" si="3"/>
        <v>80.8</v>
      </c>
      <c r="AK8" s="18">
        <f t="shared" si="4"/>
        <v>72.8</v>
      </c>
      <c r="AL8" s="15" t="s">
        <v>5</v>
      </c>
      <c r="AM8" s="12"/>
      <c r="AN8" s="12"/>
      <c r="AO8" s="12"/>
      <c r="AP8" s="14"/>
      <c r="AQ8" s="14"/>
      <c r="AR8" s="14"/>
      <c r="AS8" s="14"/>
    </row>
    <row r="9" spans="1:45" s="2" customFormat="1" ht="13.5" customHeight="1">
      <c r="A9" s="21"/>
      <c r="B9" s="21"/>
      <c r="C9" s="21"/>
      <c r="D9" s="21"/>
      <c r="E9" s="13"/>
      <c r="F9" s="13"/>
      <c r="G9" s="14"/>
      <c r="H9" s="14"/>
      <c r="I9" s="14"/>
      <c r="J9" s="14"/>
      <c r="K9" s="14"/>
      <c r="L9" s="14"/>
      <c r="M9" s="14"/>
      <c r="N9" s="14"/>
      <c r="O9" s="14"/>
      <c r="P9" s="14"/>
      <c r="Q9" s="14"/>
      <c r="R9" s="14"/>
      <c r="S9" s="14"/>
      <c r="T9" s="14"/>
      <c r="U9" s="14"/>
      <c r="V9" s="14"/>
      <c r="W9" s="14"/>
      <c r="X9" s="14"/>
      <c r="Y9" s="14"/>
      <c r="Z9" s="14"/>
      <c r="AA9" s="16">
        <f t="shared" si="5"/>
        <v>28</v>
      </c>
      <c r="AB9" s="17">
        <f t="shared" si="0"/>
        <v>1740.9546088265643</v>
      </c>
      <c r="AC9" s="17">
        <f t="shared" si="6"/>
        <v>39.83847515761721</v>
      </c>
      <c r="AD9" s="17">
        <f t="shared" si="7"/>
        <v>62.17695031523443</v>
      </c>
      <c r="AE9" s="17">
        <f t="shared" si="8"/>
        <v>745.445391173436</v>
      </c>
      <c r="AF9" s="17">
        <f t="shared" si="9"/>
        <v>28</v>
      </c>
      <c r="AG9" s="17">
        <f t="shared" si="10"/>
        <v>-100000</v>
      </c>
      <c r="AH9" s="17">
        <f t="shared" si="1"/>
        <v>88.8</v>
      </c>
      <c r="AI9" s="17">
        <f t="shared" si="2"/>
        <v>50.321742969776025</v>
      </c>
      <c r="AJ9" s="17">
        <f t="shared" si="3"/>
        <v>77.6</v>
      </c>
      <c r="AK9" s="18">
        <f t="shared" si="4"/>
        <v>72.8</v>
      </c>
      <c r="AL9" s="18">
        <f>AN$1*A87^2+AN$2*A87^0.5</f>
        <v>0</v>
      </c>
      <c r="AM9" s="12"/>
      <c r="AN9" s="12"/>
      <c r="AO9" s="12"/>
      <c r="AP9" s="14"/>
      <c r="AQ9" s="14"/>
      <c r="AR9" s="14"/>
      <c r="AS9" s="14"/>
    </row>
    <row r="10" spans="1:45" s="2" customFormat="1" ht="13.5" customHeight="1">
      <c r="A10" s="14"/>
      <c r="B10" s="14"/>
      <c r="C10" s="14"/>
      <c r="D10" s="21"/>
      <c r="E10" s="13"/>
      <c r="F10" s="13"/>
      <c r="G10" s="14"/>
      <c r="H10" s="14"/>
      <c r="I10" s="14"/>
      <c r="J10" s="14"/>
      <c r="K10" s="14"/>
      <c r="L10" s="14"/>
      <c r="M10" s="14"/>
      <c r="N10" s="14"/>
      <c r="O10" s="14"/>
      <c r="P10" s="14"/>
      <c r="Q10" s="14"/>
      <c r="R10" s="14"/>
      <c r="S10" s="14"/>
      <c r="T10" s="14"/>
      <c r="U10" s="14"/>
      <c r="V10" s="14"/>
      <c r="W10" s="14"/>
      <c r="X10" s="14"/>
      <c r="Y10" s="14"/>
      <c r="Z10" s="14"/>
      <c r="AA10" s="16">
        <f t="shared" si="5"/>
        <v>32</v>
      </c>
      <c r="AB10" s="17">
        <f t="shared" si="0"/>
        <v>1899.881418756469</v>
      </c>
      <c r="AC10" s="17">
        <f t="shared" si="6"/>
        <v>39.68564716806982</v>
      </c>
      <c r="AD10" s="17">
        <f t="shared" si="7"/>
        <v>59.37129433613964</v>
      </c>
      <c r="AE10" s="17">
        <f t="shared" si="8"/>
        <v>890.5185812435316</v>
      </c>
      <c r="AF10" s="17">
        <f t="shared" si="9"/>
        <v>32</v>
      </c>
      <c r="AG10" s="17">
        <f t="shared" si="10"/>
        <v>-100000</v>
      </c>
      <c r="AH10" s="17">
        <f t="shared" si="1"/>
        <v>87.2</v>
      </c>
      <c r="AI10" s="17">
        <f t="shared" si="2"/>
        <v>50.321742969776025</v>
      </c>
      <c r="AJ10" s="17">
        <f t="shared" si="3"/>
        <v>74.4</v>
      </c>
      <c r="AK10" s="18">
        <f t="shared" si="4"/>
        <v>72.8</v>
      </c>
      <c r="AL10" s="18"/>
      <c r="AM10" s="12"/>
      <c r="AN10" s="12"/>
      <c r="AO10" s="12"/>
      <c r="AP10" s="14"/>
      <c r="AQ10" s="14"/>
      <c r="AR10" s="14"/>
      <c r="AS10" s="14"/>
    </row>
    <row r="11" spans="1:45" s="2" customFormat="1" ht="13.5" customHeight="1">
      <c r="A11" s="14"/>
      <c r="B11" s="14"/>
      <c r="C11" s="14"/>
      <c r="D11" s="12"/>
      <c r="E11" s="13"/>
      <c r="F11" s="13"/>
      <c r="G11" s="14"/>
      <c r="H11" s="14"/>
      <c r="I11" s="14"/>
      <c r="J11" s="14"/>
      <c r="K11" s="14"/>
      <c r="L11" s="14"/>
      <c r="M11" s="14"/>
      <c r="N11" s="14"/>
      <c r="O11" s="14"/>
      <c r="P11" s="14"/>
      <c r="Q11" s="14"/>
      <c r="R11" s="14"/>
      <c r="S11" s="14"/>
      <c r="T11" s="14"/>
      <c r="U11" s="14"/>
      <c r="V11" s="14"/>
      <c r="W11" s="14"/>
      <c r="X11" s="14"/>
      <c r="Y11" s="14"/>
      <c r="Z11" s="14"/>
      <c r="AA11" s="16">
        <f t="shared" si="5"/>
        <v>36</v>
      </c>
      <c r="AB11" s="17">
        <f t="shared" si="0"/>
        <v>2058.8543819998317</v>
      </c>
      <c r="AC11" s="17">
        <f t="shared" si="6"/>
        <v>39.84519974999766</v>
      </c>
      <c r="AD11" s="17">
        <f t="shared" si="7"/>
        <v>57.19039949999532</v>
      </c>
      <c r="AE11" s="17">
        <f t="shared" si="8"/>
        <v>1022.7456180001682</v>
      </c>
      <c r="AF11" s="17">
        <f t="shared" si="9"/>
        <v>36</v>
      </c>
      <c r="AG11" s="17">
        <f t="shared" si="10"/>
        <v>-100000</v>
      </c>
      <c r="AH11" s="17">
        <f t="shared" si="1"/>
        <v>85.6</v>
      </c>
      <c r="AI11" s="17">
        <f t="shared" si="2"/>
        <v>50.321742969776025</v>
      </c>
      <c r="AJ11" s="17">
        <f t="shared" si="3"/>
        <v>71.2</v>
      </c>
      <c r="AK11" s="18">
        <f t="shared" si="4"/>
        <v>72.8</v>
      </c>
      <c r="AL11" s="18">
        <f>AN$1*A89^2+AN$2*A89^0.5</f>
        <v>1580.5934866804428</v>
      </c>
      <c r="AM11" s="12"/>
      <c r="AN11" s="12"/>
      <c r="AO11" s="12"/>
      <c r="AP11" s="14"/>
      <c r="AQ11" s="14"/>
      <c r="AR11" s="14"/>
      <c r="AS11" s="14"/>
    </row>
    <row r="12" spans="1:45" s="2" customFormat="1" ht="13.5" customHeight="1">
      <c r="A12" s="12"/>
      <c r="B12" s="12"/>
      <c r="C12" s="12"/>
      <c r="D12" s="12"/>
      <c r="E12" s="13"/>
      <c r="F12" s="13"/>
      <c r="G12" s="14"/>
      <c r="H12" s="14"/>
      <c r="I12" s="14"/>
      <c r="J12" s="14"/>
      <c r="K12" s="14"/>
      <c r="L12" s="14"/>
      <c r="M12" s="14"/>
      <c r="N12" s="14"/>
      <c r="O12" s="14"/>
      <c r="P12" s="14"/>
      <c r="Q12" s="14"/>
      <c r="R12" s="14"/>
      <c r="S12" s="14"/>
      <c r="T12" s="14"/>
      <c r="U12" s="14"/>
      <c r="V12" s="14"/>
      <c r="W12" s="14"/>
      <c r="X12" s="14"/>
      <c r="Y12" s="14"/>
      <c r="Z12" s="14"/>
      <c r="AA12" s="16">
        <f t="shared" si="5"/>
        <v>40</v>
      </c>
      <c r="AB12" s="17">
        <f t="shared" si="0"/>
        <v>2218.9514164974603</v>
      </c>
      <c r="AC12" s="17">
        <f t="shared" si="6"/>
        <v>40.23689270621825</v>
      </c>
      <c r="AD12" s="17">
        <f t="shared" si="7"/>
        <v>55.4737854124365</v>
      </c>
      <c r="AE12" s="17">
        <f t="shared" si="8"/>
        <v>1141.0485835025402</v>
      </c>
      <c r="AF12" s="17">
        <f t="shared" si="9"/>
        <v>40</v>
      </c>
      <c r="AG12" s="17">
        <f t="shared" si="10"/>
        <v>-100000</v>
      </c>
      <c r="AH12" s="17">
        <f t="shared" si="1"/>
        <v>84</v>
      </c>
      <c r="AI12" s="17">
        <f t="shared" si="2"/>
        <v>50.321742969776025</v>
      </c>
      <c r="AJ12" s="17">
        <f t="shared" si="3"/>
        <v>68</v>
      </c>
      <c r="AK12" s="18">
        <f t="shared" si="4"/>
        <v>72.8</v>
      </c>
      <c r="AL12" s="18"/>
      <c r="AM12" s="12"/>
      <c r="AN12" s="12"/>
      <c r="AO12" s="12"/>
      <c r="AP12" s="14"/>
      <c r="AQ12" s="14"/>
      <c r="AR12" s="14"/>
      <c r="AS12" s="14"/>
    </row>
    <row r="13" spans="1:45" s="2" customFormat="1" ht="13.5" customHeight="1">
      <c r="A13" s="75" t="s">
        <v>73</v>
      </c>
      <c r="B13" s="76"/>
      <c r="C13" s="46">
        <f>MAX(AG2:AG55)</f>
        <v>68</v>
      </c>
      <c r="D13" s="12"/>
      <c r="E13" s="13"/>
      <c r="F13" s="13"/>
      <c r="G13" s="14"/>
      <c r="H13" s="14"/>
      <c r="I13" s="14"/>
      <c r="J13" s="14"/>
      <c r="K13" s="14"/>
      <c r="L13" s="14"/>
      <c r="M13" s="14"/>
      <c r="N13" s="14"/>
      <c r="O13" s="14"/>
      <c r="P13" s="14"/>
      <c r="Q13" s="14"/>
      <c r="R13" s="14"/>
      <c r="S13" s="14"/>
      <c r="T13" s="14"/>
      <c r="U13" s="14"/>
      <c r="V13" s="14"/>
      <c r="W13" s="14"/>
      <c r="X13" s="14"/>
      <c r="Y13" s="14"/>
      <c r="Z13" s="14"/>
      <c r="AA13" s="16">
        <f t="shared" si="5"/>
        <v>44</v>
      </c>
      <c r="AB13" s="17">
        <f t="shared" si="0"/>
        <v>2380.98626322551</v>
      </c>
      <c r="AC13" s="17">
        <f t="shared" si="6"/>
        <v>40.80666208210807</v>
      </c>
      <c r="AD13" s="17">
        <f t="shared" si="7"/>
        <v>54.11332416421614</v>
      </c>
      <c r="AE13" s="17">
        <f t="shared" si="8"/>
        <v>1244.6137367744902</v>
      </c>
      <c r="AF13" s="17">
        <f t="shared" si="9"/>
        <v>44</v>
      </c>
      <c r="AG13" s="17">
        <f t="shared" si="10"/>
        <v>-100000</v>
      </c>
      <c r="AH13" s="17">
        <f t="shared" si="1"/>
        <v>82.4</v>
      </c>
      <c r="AI13" s="17">
        <f t="shared" si="2"/>
        <v>50.321742969776025</v>
      </c>
      <c r="AJ13" s="17">
        <f t="shared" si="3"/>
        <v>64.8</v>
      </c>
      <c r="AK13" s="18">
        <f t="shared" si="4"/>
        <v>72.8</v>
      </c>
      <c r="AL13" s="18">
        <f>AN$1*A91^2+AN$2*A91^0.5</f>
        <v>2545.591117977289</v>
      </c>
      <c r="AM13" s="12"/>
      <c r="AN13" s="12"/>
      <c r="AO13" s="12"/>
      <c r="AP13" s="14"/>
      <c r="AQ13" s="14"/>
      <c r="AR13" s="14"/>
      <c r="AS13" s="14"/>
    </row>
    <row r="14" spans="1:45" s="2" customFormat="1" ht="13.5" customHeight="1">
      <c r="A14" s="75" t="s">
        <v>55</v>
      </c>
      <c r="B14" s="76"/>
      <c r="C14" s="47">
        <f>AN1*C13+AN2/C13^0.5</f>
        <v>50.321742969776025</v>
      </c>
      <c r="D14" s="12"/>
      <c r="E14" s="13"/>
      <c r="F14" s="13"/>
      <c r="G14" s="14"/>
      <c r="H14" s="14"/>
      <c r="I14" s="14"/>
      <c r="J14" s="14"/>
      <c r="K14" s="14"/>
      <c r="L14" s="14"/>
      <c r="M14" s="14"/>
      <c r="N14" s="14"/>
      <c r="O14" s="14"/>
      <c r="P14" s="14"/>
      <c r="Q14" s="14"/>
      <c r="R14" s="14"/>
      <c r="S14" s="14"/>
      <c r="T14" s="14"/>
      <c r="U14" s="14"/>
      <c r="V14" s="14"/>
      <c r="W14" s="14"/>
      <c r="X14" s="14"/>
      <c r="Y14" s="14"/>
      <c r="Z14" s="14"/>
      <c r="AA14" s="16">
        <f t="shared" si="5"/>
        <v>48</v>
      </c>
      <c r="AB14" s="17">
        <f t="shared" si="0"/>
        <v>2545.591117977289</v>
      </c>
      <c r="AC14" s="17">
        <f t="shared" si="6"/>
        <v>41.51657414559676</v>
      </c>
      <c r="AD14" s="17">
        <f t="shared" si="7"/>
        <v>53.03314829119353</v>
      </c>
      <c r="AE14" s="17">
        <f t="shared" si="8"/>
        <v>1332.8088820227106</v>
      </c>
      <c r="AF14" s="17">
        <f t="shared" si="9"/>
        <v>48</v>
      </c>
      <c r="AG14" s="17">
        <f t="shared" si="10"/>
        <v>-100000</v>
      </c>
      <c r="AH14" s="17">
        <f t="shared" si="1"/>
        <v>80.8</v>
      </c>
      <c r="AI14" s="17">
        <f t="shared" si="2"/>
        <v>50.321742969776025</v>
      </c>
      <c r="AJ14" s="17">
        <f t="shared" si="3"/>
        <v>61.599999999999994</v>
      </c>
      <c r="AK14" s="18">
        <f t="shared" si="4"/>
        <v>72.8</v>
      </c>
      <c r="AL14" s="18"/>
      <c r="AM14" s="12"/>
      <c r="AN14" s="12"/>
      <c r="AO14" s="12"/>
      <c r="AP14" s="14"/>
      <c r="AQ14" s="14"/>
      <c r="AR14" s="14"/>
      <c r="AS14" s="14"/>
    </row>
    <row r="15" spans="1:45" s="2" customFormat="1" ht="13.5" customHeight="1">
      <c r="A15" s="75" t="s">
        <v>45</v>
      </c>
      <c r="B15" s="76"/>
      <c r="C15" s="47">
        <f>C13*(C16-C14)</f>
        <v>1528.52147805523</v>
      </c>
      <c r="D15" s="12"/>
      <c r="E15" s="13"/>
      <c r="F15" s="13"/>
      <c r="G15" s="14"/>
      <c r="H15" s="14"/>
      <c r="I15" s="14"/>
      <c r="J15" s="14"/>
      <c r="K15" s="14"/>
      <c r="L15" s="14"/>
      <c r="M15" s="14"/>
      <c r="N15" s="14"/>
      <c r="O15" s="14"/>
      <c r="P15" s="14"/>
      <c r="Q15" s="14"/>
      <c r="R15" s="14"/>
      <c r="S15" s="14"/>
      <c r="T15" s="14"/>
      <c r="U15" s="14"/>
      <c r="V15" s="14"/>
      <c r="W15" s="14"/>
      <c r="X15" s="14"/>
      <c r="Y15" s="14"/>
      <c r="Z15" s="14"/>
      <c r="AA15" s="16">
        <f t="shared" si="5"/>
        <v>52</v>
      </c>
      <c r="AB15" s="17">
        <f t="shared" si="0"/>
        <v>2713.2687328796133</v>
      </c>
      <c r="AC15" s="17">
        <f t="shared" si="6"/>
        <v>42.33912243153475</v>
      </c>
      <c r="AD15" s="17">
        <f t="shared" si="7"/>
        <v>52.17824486306949</v>
      </c>
      <c r="AE15" s="17">
        <f t="shared" si="8"/>
        <v>1405.1312671203868</v>
      </c>
      <c r="AF15" s="17">
        <f t="shared" si="9"/>
        <v>52</v>
      </c>
      <c r="AG15" s="17">
        <f t="shared" si="10"/>
        <v>-100000</v>
      </c>
      <c r="AH15" s="17">
        <f t="shared" si="1"/>
        <v>79.2</v>
      </c>
      <c r="AI15" s="17">
        <f t="shared" si="2"/>
        <v>50.321742969776025</v>
      </c>
      <c r="AJ15" s="17">
        <f t="shared" si="3"/>
        <v>58.4</v>
      </c>
      <c r="AK15" s="18">
        <f t="shared" si="4"/>
        <v>72.8</v>
      </c>
      <c r="AL15" s="18">
        <f>AN$1*A93^2+AN$2*A93^0.5</f>
        <v>3609.8221281347032</v>
      </c>
      <c r="AM15" s="12"/>
      <c r="AN15" s="12"/>
      <c r="AO15" s="12"/>
      <c r="AP15" s="14"/>
      <c r="AQ15" s="14"/>
      <c r="AR15" s="14"/>
      <c r="AS15" s="14"/>
    </row>
    <row r="16" spans="1:45" s="2" customFormat="1" ht="13.5" customHeight="1">
      <c r="A16" s="75" t="s">
        <v>46</v>
      </c>
      <c r="B16" s="76"/>
      <c r="C16" s="47">
        <f>C5-0.4*C13</f>
        <v>72.8</v>
      </c>
      <c r="D16" s="13"/>
      <c r="E16" s="13"/>
      <c r="F16" s="13"/>
      <c r="G16" s="14"/>
      <c r="H16" s="14"/>
      <c r="I16" s="14"/>
      <c r="J16" s="14"/>
      <c r="K16" s="14"/>
      <c r="L16" s="14"/>
      <c r="M16" s="14"/>
      <c r="N16" s="14"/>
      <c r="O16" s="14"/>
      <c r="P16" s="14"/>
      <c r="Q16" s="14"/>
      <c r="R16" s="14"/>
      <c r="S16" s="14"/>
      <c r="T16" s="14"/>
      <c r="U16" s="14"/>
      <c r="V16" s="14"/>
      <c r="W16" s="14"/>
      <c r="X16" s="14"/>
      <c r="Y16" s="14"/>
      <c r="Z16" s="14"/>
      <c r="AA16" s="16">
        <f t="shared" si="5"/>
        <v>56</v>
      </c>
      <c r="AB16" s="17">
        <f t="shared" si="0"/>
        <v>2884.4267374242013</v>
      </c>
      <c r="AC16" s="17">
        <f t="shared" si="6"/>
        <v>43.253810155573234</v>
      </c>
      <c r="AD16" s="17">
        <f t="shared" si="7"/>
        <v>51.507620311146454</v>
      </c>
      <c r="AE16" s="17">
        <f t="shared" si="8"/>
        <v>1461.1732625757982</v>
      </c>
      <c r="AF16" s="17">
        <f t="shared" si="9"/>
        <v>56</v>
      </c>
      <c r="AG16" s="17">
        <f t="shared" si="10"/>
        <v>-100000</v>
      </c>
      <c r="AH16" s="17">
        <f t="shared" si="1"/>
        <v>77.6</v>
      </c>
      <c r="AI16" s="17">
        <f t="shared" si="2"/>
        <v>50.321742969776025</v>
      </c>
      <c r="AJ16" s="17">
        <f t="shared" si="3"/>
        <v>55.199999999999996</v>
      </c>
      <c r="AK16" s="18">
        <f t="shared" si="4"/>
        <v>72.8</v>
      </c>
      <c r="AL16" s="18"/>
      <c r="AM16" s="12"/>
      <c r="AN16" s="12"/>
      <c r="AO16" s="12"/>
      <c r="AP16" s="14"/>
      <c r="AQ16" s="14"/>
      <c r="AR16" s="14"/>
      <c r="AS16" s="14"/>
    </row>
    <row r="17" spans="1:45" s="2" customFormat="1" ht="13.5" customHeight="1">
      <c r="A17" s="13" t="s">
        <v>74</v>
      </c>
      <c r="B17" s="13"/>
      <c r="C17" s="13"/>
      <c r="D17" s="13"/>
      <c r="E17" s="13"/>
      <c r="F17" s="13"/>
      <c r="G17" s="14"/>
      <c r="H17" s="14"/>
      <c r="I17" s="14"/>
      <c r="J17" s="14"/>
      <c r="K17" s="14"/>
      <c r="L17" s="14"/>
      <c r="M17" s="14"/>
      <c r="N17" s="14"/>
      <c r="O17" s="14"/>
      <c r="P17" s="14"/>
      <c r="Q17" s="14"/>
      <c r="R17" s="14"/>
      <c r="S17" s="14"/>
      <c r="T17" s="14"/>
      <c r="U17" s="14"/>
      <c r="V17" s="14"/>
      <c r="W17" s="14"/>
      <c r="X17" s="14"/>
      <c r="Y17" s="14"/>
      <c r="Z17" s="14"/>
      <c r="AA17" s="16">
        <f t="shared" si="5"/>
        <v>60</v>
      </c>
      <c r="AB17" s="17">
        <f t="shared" si="0"/>
        <v>3059.4010767585028</v>
      </c>
      <c r="AC17" s="17">
        <f t="shared" si="6"/>
        <v>44.24500897298752</v>
      </c>
      <c r="AD17" s="17">
        <f t="shared" si="7"/>
        <v>50.99001794597504</v>
      </c>
      <c r="AE17" s="17">
        <f t="shared" si="8"/>
        <v>1500.5989232414977</v>
      </c>
      <c r="AF17" s="17">
        <f t="shared" si="9"/>
        <v>60</v>
      </c>
      <c r="AG17" s="17">
        <f t="shared" si="10"/>
        <v>-100000</v>
      </c>
      <c r="AH17" s="17">
        <f t="shared" si="1"/>
        <v>76</v>
      </c>
      <c r="AI17" s="17">
        <f t="shared" si="2"/>
        <v>50.321742969776025</v>
      </c>
      <c r="AJ17" s="17">
        <f t="shared" si="3"/>
        <v>52</v>
      </c>
      <c r="AK17" s="18">
        <f t="shared" si="4"/>
        <v>72.8</v>
      </c>
      <c r="AL17" s="18">
        <f>AN$1*A95^2+AN$2*A95^0.5</f>
        <v>4841.1869733608855</v>
      </c>
      <c r="AM17" s="12"/>
      <c r="AN17" s="12"/>
      <c r="AO17" s="14"/>
      <c r="AP17" s="14"/>
      <c r="AQ17" s="14"/>
      <c r="AR17" s="14"/>
      <c r="AS17" s="14"/>
    </row>
    <row r="18" spans="1:45" s="2" customFormat="1" ht="13.5" customHeight="1">
      <c r="A18" s="13"/>
      <c r="B18" s="13"/>
      <c r="C18" s="13"/>
      <c r="D18" s="13"/>
      <c r="E18" s="13"/>
      <c r="F18" s="13"/>
      <c r="G18" s="14"/>
      <c r="H18" s="14"/>
      <c r="I18" s="14"/>
      <c r="J18" s="14"/>
      <c r="K18" s="14"/>
      <c r="L18" s="14"/>
      <c r="M18" s="14"/>
      <c r="N18" s="14"/>
      <c r="O18" s="14"/>
      <c r="P18" s="14"/>
      <c r="Q18" s="14"/>
      <c r="R18" s="14"/>
      <c r="S18" s="14"/>
      <c r="T18" s="14"/>
      <c r="U18" s="14"/>
      <c r="V18" s="14"/>
      <c r="W18" s="14"/>
      <c r="X18" s="14"/>
      <c r="Y18" s="14"/>
      <c r="Z18" s="14"/>
      <c r="AA18" s="16">
        <f t="shared" si="5"/>
        <v>64</v>
      </c>
      <c r="AB18" s="17">
        <f t="shared" si="0"/>
        <v>3238.472509333109</v>
      </c>
      <c r="AC18" s="17">
        <f t="shared" si="6"/>
        <v>45.300566479164914</v>
      </c>
      <c r="AD18" s="17">
        <f t="shared" si="7"/>
        <v>50.60113295832983</v>
      </c>
      <c r="AE18" s="17">
        <f t="shared" si="8"/>
        <v>1523.1274906668914</v>
      </c>
      <c r="AF18" s="17">
        <f t="shared" si="9"/>
        <v>64</v>
      </c>
      <c r="AG18" s="17">
        <f t="shared" si="10"/>
        <v>-100000</v>
      </c>
      <c r="AH18" s="17">
        <f t="shared" si="1"/>
        <v>74.4</v>
      </c>
      <c r="AI18" s="17">
        <f t="shared" si="2"/>
        <v>50.321742969776025</v>
      </c>
      <c r="AJ18" s="17">
        <f t="shared" si="3"/>
        <v>48.8</v>
      </c>
      <c r="AK18" s="18">
        <f t="shared" si="4"/>
        <v>72.8</v>
      </c>
      <c r="AL18" s="18"/>
      <c r="AM18" s="12"/>
      <c r="AN18" s="12"/>
      <c r="AO18" s="12"/>
      <c r="AP18" s="14"/>
      <c r="AQ18" s="14"/>
      <c r="AR18" s="14"/>
      <c r="AS18" s="14"/>
    </row>
    <row r="19" spans="1:45" s="2" customFormat="1" ht="13.5" customHeight="1">
      <c r="A19" s="14"/>
      <c r="B19" s="14"/>
      <c r="C19" s="14"/>
      <c r="D19" s="13"/>
      <c r="E19" s="13"/>
      <c r="F19" s="13"/>
      <c r="G19" s="14"/>
      <c r="H19" s="14"/>
      <c r="I19" s="14"/>
      <c r="J19" s="14"/>
      <c r="K19" s="14"/>
      <c r="L19" s="14"/>
      <c r="M19" s="14"/>
      <c r="N19" s="14"/>
      <c r="O19" s="14"/>
      <c r="P19" s="14"/>
      <c r="Q19" s="14"/>
      <c r="R19" s="14"/>
      <c r="S19" s="14"/>
      <c r="T19" s="14"/>
      <c r="U19" s="14"/>
      <c r="V19" s="14"/>
      <c r="W19" s="14"/>
      <c r="X19" s="14"/>
      <c r="Y19" s="14"/>
      <c r="Z19" s="14"/>
      <c r="AA19" s="16">
        <f t="shared" si="5"/>
        <v>68</v>
      </c>
      <c r="AB19" s="17">
        <f t="shared" si="0"/>
        <v>3421.87852194477</v>
      </c>
      <c r="AC19" s="17">
        <f t="shared" si="6"/>
        <v>46.41087148488802</v>
      </c>
      <c r="AD19" s="17">
        <f t="shared" si="7"/>
        <v>50.321742969776025</v>
      </c>
      <c r="AE19" s="17">
        <f t="shared" si="8"/>
        <v>1528.52147805523</v>
      </c>
      <c r="AF19" s="17">
        <f t="shared" si="9"/>
        <v>-1000000</v>
      </c>
      <c r="AG19" s="17">
        <f t="shared" si="10"/>
        <v>68</v>
      </c>
      <c r="AH19" s="17">
        <f t="shared" si="1"/>
        <v>72.8</v>
      </c>
      <c r="AI19" s="17">
        <f t="shared" si="2"/>
        <v>50.321742969776025</v>
      </c>
      <c r="AJ19" s="17">
        <f t="shared" si="3"/>
        <v>45.599999999999994</v>
      </c>
      <c r="AK19" s="18">
        <f t="shared" si="4"/>
        <v>72.8</v>
      </c>
      <c r="AL19" s="18">
        <f>AN$1*A97^2+AN$2*A97^0.5</f>
        <v>6265.986323710904</v>
      </c>
      <c r="AM19" s="12"/>
      <c r="AN19" s="12"/>
      <c r="AO19" s="12"/>
      <c r="AP19" s="14"/>
      <c r="AQ19" s="14"/>
      <c r="AR19" s="14"/>
      <c r="AS19" s="14"/>
    </row>
    <row r="20" spans="1:45" s="2" customFormat="1" ht="13.5" customHeight="1">
      <c r="A20" s="14"/>
      <c r="B20" s="14"/>
      <c r="C20" s="14"/>
      <c r="D20" s="14"/>
      <c r="E20" s="13"/>
      <c r="F20" s="13"/>
      <c r="G20" s="14"/>
      <c r="H20" s="14"/>
      <c r="I20" s="14"/>
      <c r="J20" s="14"/>
      <c r="K20" s="14"/>
      <c r="L20" s="14"/>
      <c r="M20" s="14"/>
      <c r="N20" s="14"/>
      <c r="O20" s="14"/>
      <c r="P20" s="14"/>
      <c r="Q20" s="14"/>
      <c r="R20" s="14"/>
      <c r="S20" s="14"/>
      <c r="T20" s="14"/>
      <c r="U20" s="14"/>
      <c r="V20" s="14"/>
      <c r="W20" s="14"/>
      <c r="X20" s="14"/>
      <c r="Y20" s="14"/>
      <c r="Z20" s="14"/>
      <c r="AA20" s="16">
        <f t="shared" si="5"/>
        <v>72</v>
      </c>
      <c r="AB20" s="17">
        <f t="shared" si="0"/>
        <v>3609.8221281347032</v>
      </c>
      <c r="AC20" s="17">
        <f t="shared" si="6"/>
        <v>47.568209223157666</v>
      </c>
      <c r="AD20" s="17">
        <f t="shared" si="7"/>
        <v>50.136418446315325</v>
      </c>
      <c r="AE20" s="17">
        <f t="shared" si="8"/>
        <v>1516.5778718652969</v>
      </c>
      <c r="AF20" s="17">
        <f t="shared" si="9"/>
        <v>72</v>
      </c>
      <c r="AG20" s="17">
        <f t="shared" si="10"/>
        <v>-100000</v>
      </c>
      <c r="AH20" s="17">
        <f t="shared" si="1"/>
        <v>71.2</v>
      </c>
      <c r="AI20" s="17">
        <f t="shared" si="2"/>
        <v>-100000</v>
      </c>
      <c r="AJ20" s="17">
        <f t="shared" si="3"/>
        <v>42.4</v>
      </c>
      <c r="AK20" s="18">
        <f t="shared" si="4"/>
        <v>-100000</v>
      </c>
      <c r="AL20" s="18"/>
      <c r="AM20" s="12"/>
      <c r="AN20" s="12"/>
      <c r="AO20" s="12"/>
      <c r="AP20" s="14"/>
      <c r="AQ20" s="14"/>
      <c r="AR20" s="14"/>
      <c r="AS20" s="14"/>
    </row>
    <row r="21" spans="1:45" s="2" customFormat="1" ht="13.5" customHeight="1">
      <c r="A21" s="14"/>
      <c r="B21" s="14"/>
      <c r="C21" s="14"/>
      <c r="D21" s="14"/>
      <c r="E21" s="13"/>
      <c r="F21" s="13"/>
      <c r="G21" s="14"/>
      <c r="H21" s="14"/>
      <c r="I21" s="14"/>
      <c r="J21" s="14"/>
      <c r="K21" s="14"/>
      <c r="L21" s="14"/>
      <c r="M21" s="14"/>
      <c r="N21" s="14"/>
      <c r="O21" s="14"/>
      <c r="P21" s="14"/>
      <c r="Q21" s="14"/>
      <c r="R21" s="14"/>
      <c r="S21" s="14"/>
      <c r="T21" s="14"/>
      <c r="U21" s="14"/>
      <c r="V21" s="14"/>
      <c r="W21" s="14"/>
      <c r="X21" s="14"/>
      <c r="Y21" s="14"/>
      <c r="Z21" s="14"/>
      <c r="AA21" s="16">
        <f t="shared" si="5"/>
        <v>76</v>
      </c>
      <c r="AB21" s="17">
        <f t="shared" si="0"/>
        <v>3802.478491949057</v>
      </c>
      <c r="AC21" s="17">
        <f t="shared" si="6"/>
        <v>48.7663058680859</v>
      </c>
      <c r="AD21" s="17">
        <f t="shared" si="7"/>
        <v>50.0326117361718</v>
      </c>
      <c r="AE21" s="17">
        <f t="shared" si="8"/>
        <v>1487.1215080509426</v>
      </c>
      <c r="AF21" s="17">
        <f t="shared" si="9"/>
        <v>76</v>
      </c>
      <c r="AG21" s="17">
        <f t="shared" si="10"/>
        <v>-100000</v>
      </c>
      <c r="AH21" s="17">
        <f t="shared" si="1"/>
        <v>69.6</v>
      </c>
      <c r="AI21" s="17">
        <f t="shared" si="2"/>
        <v>-100000</v>
      </c>
      <c r="AJ21" s="17">
        <f t="shared" si="3"/>
        <v>39.199999999999996</v>
      </c>
      <c r="AK21" s="18">
        <f t="shared" si="4"/>
        <v>-100000</v>
      </c>
      <c r="AL21" s="18">
        <f>AN$1*A99^2+AN$2*A99^0.5</f>
        <v>7897.7087639996635</v>
      </c>
      <c r="AM21" s="12"/>
      <c r="AN21" s="12"/>
      <c r="AO21" s="12"/>
      <c r="AP21" s="14"/>
      <c r="AQ21" s="14"/>
      <c r="AR21" s="14"/>
      <c r="AS21" s="14"/>
    </row>
    <row r="22" spans="1:45" s="2" customFormat="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6">
        <f t="shared" si="5"/>
        <v>80</v>
      </c>
      <c r="AB22" s="17">
        <f t="shared" si="0"/>
        <v>4000</v>
      </c>
      <c r="AC22" s="17">
        <f t="shared" si="6"/>
        <v>50</v>
      </c>
      <c r="AD22" s="17">
        <f t="shared" si="7"/>
        <v>50</v>
      </c>
      <c r="AE22" s="17">
        <f t="shared" si="8"/>
        <v>1440</v>
      </c>
      <c r="AF22" s="17">
        <f t="shared" si="9"/>
        <v>80</v>
      </c>
      <c r="AG22" s="17">
        <f t="shared" si="10"/>
        <v>-100000</v>
      </c>
      <c r="AH22" s="17">
        <f t="shared" si="1"/>
        <v>68</v>
      </c>
      <c r="AI22" s="17">
        <f t="shared" si="2"/>
        <v>-100000</v>
      </c>
      <c r="AJ22" s="17">
        <f t="shared" si="3"/>
        <v>36</v>
      </c>
      <c r="AK22" s="18">
        <f t="shared" si="4"/>
        <v>-100000</v>
      </c>
      <c r="AL22" s="18"/>
      <c r="AM22" s="12"/>
      <c r="AN22" s="12"/>
      <c r="AO22" s="12"/>
      <c r="AP22" s="14"/>
      <c r="AQ22" s="14"/>
      <c r="AR22" s="14"/>
      <c r="AS22" s="14"/>
    </row>
    <row r="23" spans="1:45" s="2" customFormat="1" ht="13.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6">
        <f t="shared" si="5"/>
        <v>84</v>
      </c>
      <c r="AB23" s="17">
        <f t="shared" si="0"/>
        <v>4202.520204255892</v>
      </c>
      <c r="AC23" s="17">
        <f t="shared" si="6"/>
        <v>51.26500121580889</v>
      </c>
      <c r="AD23" s="17">
        <f t="shared" si="7"/>
        <v>50.030002431617774</v>
      </c>
      <c r="AE23" s="17">
        <f t="shared" si="8"/>
        <v>1375.0797957441075</v>
      </c>
      <c r="AF23" s="17">
        <f t="shared" si="9"/>
        <v>84</v>
      </c>
      <c r="AG23" s="17">
        <f t="shared" si="10"/>
        <v>-100000</v>
      </c>
      <c r="AH23" s="17">
        <f t="shared" si="1"/>
        <v>66.4</v>
      </c>
      <c r="AI23" s="17">
        <f t="shared" si="2"/>
        <v>-100000</v>
      </c>
      <c r="AJ23" s="17">
        <f t="shared" si="3"/>
        <v>32.8</v>
      </c>
      <c r="AK23" s="18">
        <f t="shared" si="4"/>
        <v>-100000</v>
      </c>
      <c r="AL23" s="18">
        <f>AN$1*A101^2+AN$2*A101^0.5</f>
        <v>9744.367132317184</v>
      </c>
      <c r="AM23" s="12"/>
      <c r="AN23" s="12"/>
      <c r="AO23" s="12"/>
      <c r="AP23" s="14"/>
      <c r="AQ23" s="14"/>
      <c r="AR23" s="14"/>
      <c r="AS23" s="14"/>
    </row>
    <row r="24" spans="1:45" s="2" customFormat="1" ht="13.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6">
        <f t="shared" si="5"/>
        <v>88</v>
      </c>
      <c r="AB24" s="17">
        <f t="shared" si="0"/>
        <v>4410.156928453738</v>
      </c>
      <c r="AC24" s="17">
        <f t="shared" si="6"/>
        <v>52.557709820759875</v>
      </c>
      <c r="AD24" s="17">
        <f t="shared" si="7"/>
        <v>50.115419641519736</v>
      </c>
      <c r="AE24" s="17">
        <f t="shared" si="8"/>
        <v>1292.2430715462629</v>
      </c>
      <c r="AF24" s="17">
        <f t="shared" si="9"/>
        <v>88</v>
      </c>
      <c r="AG24" s="17">
        <f t="shared" si="10"/>
        <v>-100000</v>
      </c>
      <c r="AH24" s="17">
        <f t="shared" si="1"/>
        <v>64.8</v>
      </c>
      <c r="AI24" s="17">
        <f t="shared" si="2"/>
        <v>-100000</v>
      </c>
      <c r="AJ24" s="17">
        <f t="shared" si="3"/>
        <v>29.599999999999994</v>
      </c>
      <c r="AK24" s="18">
        <f t="shared" si="4"/>
        <v>-100000</v>
      </c>
      <c r="AL24" s="12"/>
      <c r="AM24" s="12"/>
      <c r="AN24" s="12"/>
      <c r="AO24" s="12"/>
      <c r="AP24" s="14"/>
      <c r="AQ24" s="14"/>
      <c r="AR24" s="14"/>
      <c r="AS24" s="14"/>
    </row>
    <row r="25" spans="1:45" s="2" customFormat="1" ht="13.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6">
        <f t="shared" si="5"/>
        <v>92</v>
      </c>
      <c r="AB25" s="17">
        <f t="shared" si="0"/>
        <v>4623.014745270295</v>
      </c>
      <c r="AC25" s="17">
        <f t="shared" si="6"/>
        <v>53.875080137338564</v>
      </c>
      <c r="AD25" s="17">
        <f t="shared" si="7"/>
        <v>50.25016027467713</v>
      </c>
      <c r="AE25" s="17">
        <f t="shared" si="8"/>
        <v>1191.3852547297038</v>
      </c>
      <c r="AF25" s="17">
        <f t="shared" si="9"/>
        <v>92</v>
      </c>
      <c r="AG25" s="17">
        <f t="shared" si="10"/>
        <v>-100000</v>
      </c>
      <c r="AH25" s="17">
        <f t="shared" si="1"/>
        <v>63.199999999999996</v>
      </c>
      <c r="AI25" s="17">
        <f t="shared" si="2"/>
        <v>-100000</v>
      </c>
      <c r="AJ25" s="17">
        <f t="shared" si="3"/>
        <v>26.39999999999999</v>
      </c>
      <c r="AK25" s="18">
        <f t="shared" si="4"/>
        <v>-100000</v>
      </c>
      <c r="AL25" s="12"/>
      <c r="AM25" s="12"/>
      <c r="AN25" s="12"/>
      <c r="AO25" s="12"/>
      <c r="AP25" s="14"/>
      <c r="AQ25" s="14"/>
      <c r="AR25" s="14"/>
      <c r="AS25" s="14"/>
    </row>
    <row r="26" spans="1:45" s="2" customFormat="1" ht="13.5" customHeight="1">
      <c r="A26" s="14"/>
      <c r="B26" s="14"/>
      <c r="C26" s="14"/>
      <c r="D26" s="14"/>
      <c r="E26" s="14"/>
      <c r="F26" s="14"/>
      <c r="G26" s="22"/>
      <c r="H26" s="22"/>
      <c r="I26" s="14"/>
      <c r="J26" s="14"/>
      <c r="K26" s="14"/>
      <c r="L26" s="14"/>
      <c r="M26" s="14"/>
      <c r="N26" s="14"/>
      <c r="O26" s="14"/>
      <c r="P26" s="14"/>
      <c r="Q26" s="14"/>
      <c r="R26" s="14"/>
      <c r="S26" s="14"/>
      <c r="T26" s="14"/>
      <c r="U26" s="14"/>
      <c r="V26" s="14"/>
      <c r="W26" s="14"/>
      <c r="X26" s="14"/>
      <c r="Y26" s="14"/>
      <c r="Z26" s="14"/>
      <c r="AA26" s="16">
        <f t="shared" si="5"/>
        <v>96</v>
      </c>
      <c r="AB26" s="17">
        <f t="shared" si="0"/>
        <v>4841.1869733608855</v>
      </c>
      <c r="AC26" s="17">
        <f t="shared" si="6"/>
        <v>55.21451548625461</v>
      </c>
      <c r="AD26" s="17">
        <f t="shared" si="7"/>
        <v>50.42903097250923</v>
      </c>
      <c r="AE26" s="17">
        <f t="shared" si="8"/>
        <v>1072.4130266391132</v>
      </c>
      <c r="AF26" s="17">
        <f t="shared" si="9"/>
        <v>96</v>
      </c>
      <c r="AG26" s="17">
        <f t="shared" si="10"/>
        <v>-100000</v>
      </c>
      <c r="AH26" s="17">
        <f t="shared" si="1"/>
        <v>61.599999999999994</v>
      </c>
      <c r="AI26" s="17">
        <f t="shared" si="2"/>
        <v>-100000</v>
      </c>
      <c r="AJ26" s="17">
        <f t="shared" si="3"/>
        <v>23.19999999999999</v>
      </c>
      <c r="AK26" s="18">
        <f t="shared" si="4"/>
        <v>-100000</v>
      </c>
      <c r="AL26" s="12"/>
      <c r="AM26" s="12"/>
      <c r="AN26" s="12"/>
      <c r="AO26" s="12"/>
      <c r="AP26" s="14"/>
      <c r="AQ26" s="14"/>
      <c r="AR26" s="14"/>
      <c r="AS26" s="14"/>
    </row>
    <row r="27" spans="1:45" s="2" customFormat="1" ht="13.5" customHeight="1">
      <c r="A27" s="14"/>
      <c r="B27" s="14"/>
      <c r="C27" s="14"/>
      <c r="D27" s="14"/>
      <c r="E27" s="14"/>
      <c r="F27" s="14"/>
      <c r="G27" s="22"/>
      <c r="H27" s="22"/>
      <c r="I27" s="14"/>
      <c r="J27" s="14"/>
      <c r="K27" s="14"/>
      <c r="L27" s="14"/>
      <c r="M27" s="14"/>
      <c r="N27" s="14"/>
      <c r="O27" s="14"/>
      <c r="P27" s="14"/>
      <c r="Q27" s="14"/>
      <c r="R27" s="14"/>
      <c r="S27" s="14"/>
      <c r="T27" s="14"/>
      <c r="U27" s="14"/>
      <c r="V27" s="14"/>
      <c r="W27" s="14"/>
      <c r="X27" s="14"/>
      <c r="Y27" s="14"/>
      <c r="Z27" s="14"/>
      <c r="AA27" s="16">
        <f t="shared" si="5"/>
        <v>100</v>
      </c>
      <c r="AB27" s="17">
        <f t="shared" si="0"/>
        <v>5064.757303333053</v>
      </c>
      <c r="AC27" s="17">
        <f t="shared" si="6"/>
        <v>56.573786516665265</v>
      </c>
      <c r="AD27" s="17">
        <f t="shared" si="7"/>
        <v>50.64757303333053</v>
      </c>
      <c r="AE27" s="17">
        <f t="shared" si="8"/>
        <v>935.2426966669469</v>
      </c>
      <c r="AF27" s="17">
        <f t="shared" si="9"/>
        <v>100</v>
      </c>
      <c r="AG27" s="17">
        <f t="shared" si="10"/>
        <v>-100000</v>
      </c>
      <c r="AH27" s="17">
        <f t="shared" si="1"/>
        <v>60</v>
      </c>
      <c r="AI27" s="17">
        <f t="shared" si="2"/>
        <v>-100000</v>
      </c>
      <c r="AJ27" s="17">
        <f t="shared" si="3"/>
        <v>20</v>
      </c>
      <c r="AK27" s="18">
        <f t="shared" si="4"/>
        <v>-100000</v>
      </c>
      <c r="AL27" s="12"/>
      <c r="AM27" s="12"/>
      <c r="AN27" s="12"/>
      <c r="AO27" s="12"/>
      <c r="AP27" s="14"/>
      <c r="AQ27" s="14"/>
      <c r="AR27" s="14"/>
      <c r="AS27" s="14"/>
    </row>
    <row r="28" spans="1:45" s="2" customFormat="1" ht="13.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6">
        <f t="shared" si="5"/>
        <v>104</v>
      </c>
      <c r="AB28" s="17">
        <f t="shared" si="0"/>
        <v>5293.801133597701</v>
      </c>
      <c r="AC28" s="17">
        <f t="shared" si="6"/>
        <v>57.95096698845049</v>
      </c>
      <c r="AD28" s="17">
        <f t="shared" si="7"/>
        <v>50.90193397690098</v>
      </c>
      <c r="AE28" s="17">
        <f t="shared" si="8"/>
        <v>779.7988664022982</v>
      </c>
      <c r="AF28" s="17">
        <f t="shared" si="9"/>
        <v>104</v>
      </c>
      <c r="AG28" s="17">
        <f t="shared" si="10"/>
        <v>-100000</v>
      </c>
      <c r="AH28" s="17">
        <f t="shared" si="1"/>
        <v>58.4</v>
      </c>
      <c r="AI28" s="17">
        <f t="shared" si="2"/>
        <v>-100000</v>
      </c>
      <c r="AJ28" s="17">
        <f t="shared" si="3"/>
        <v>16.799999999999997</v>
      </c>
      <c r="AK28" s="18">
        <f t="shared" si="4"/>
        <v>-100000</v>
      </c>
      <c r="AL28" s="12"/>
      <c r="AM28" s="12"/>
      <c r="AN28" s="12"/>
      <c r="AO28" s="12"/>
      <c r="AP28" s="14"/>
      <c r="AQ28" s="14"/>
      <c r="AR28" s="14"/>
      <c r="AS28" s="14"/>
    </row>
    <row r="29" spans="1:45" s="2" customFormat="1" ht="13.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6">
        <f t="shared" si="5"/>
        <v>108</v>
      </c>
      <c r="AB29" s="17">
        <f t="shared" si="0"/>
        <v>5528.3866769659335</v>
      </c>
      <c r="AC29" s="17">
        <f t="shared" si="6"/>
        <v>59.344382763731176</v>
      </c>
      <c r="AD29" s="17">
        <f t="shared" si="7"/>
        <v>51.18876552746235</v>
      </c>
      <c r="AE29" s="17">
        <f t="shared" si="8"/>
        <v>606.0133230340657</v>
      </c>
      <c r="AF29" s="17">
        <f t="shared" si="9"/>
        <v>108</v>
      </c>
      <c r="AG29" s="17">
        <f t="shared" si="10"/>
        <v>-100000</v>
      </c>
      <c r="AH29" s="17">
        <f t="shared" si="1"/>
        <v>56.8</v>
      </c>
      <c r="AI29" s="17">
        <f t="shared" si="2"/>
        <v>-100000</v>
      </c>
      <c r="AJ29" s="17">
        <f t="shared" si="3"/>
        <v>13.599999999999994</v>
      </c>
      <c r="AK29" s="18">
        <f t="shared" si="4"/>
        <v>-100000</v>
      </c>
      <c r="AL29" s="12"/>
      <c r="AM29" s="12"/>
      <c r="AN29" s="12"/>
      <c r="AO29" s="12"/>
      <c r="AP29" s="14"/>
      <c r="AQ29" s="14"/>
      <c r="AR29" s="14"/>
      <c r="AS29" s="14"/>
    </row>
    <row r="30" spans="1:45" s="2" customFormat="1" ht="13.5" customHeight="1">
      <c r="A30" s="22"/>
      <c r="B30" s="22"/>
      <c r="C30" s="22"/>
      <c r="D30" s="14"/>
      <c r="E30" s="14"/>
      <c r="F30" s="14"/>
      <c r="G30" s="14"/>
      <c r="H30" s="14"/>
      <c r="I30" s="14"/>
      <c r="J30" s="14"/>
      <c r="K30" s="14"/>
      <c r="L30" s="14"/>
      <c r="M30" s="14"/>
      <c r="N30" s="14"/>
      <c r="O30" s="14"/>
      <c r="P30" s="14"/>
      <c r="Q30" s="14"/>
      <c r="R30" s="14"/>
      <c r="S30" s="14"/>
      <c r="T30" s="14"/>
      <c r="U30" s="14"/>
      <c r="V30" s="14"/>
      <c r="W30" s="14"/>
      <c r="X30" s="14"/>
      <c r="Y30" s="14"/>
      <c r="Z30" s="14"/>
      <c r="AA30" s="16">
        <f t="shared" si="5"/>
        <v>112</v>
      </c>
      <c r="AB30" s="17">
        <f t="shared" si="0"/>
        <v>5768.5758843197955</v>
      </c>
      <c r="AC30" s="17">
        <f t="shared" si="6"/>
        <v>60.75257091214195</v>
      </c>
      <c r="AD30" s="17">
        <f t="shared" si="7"/>
        <v>51.50514182428388</v>
      </c>
      <c r="AE30" s="17">
        <f t="shared" si="8"/>
        <v>413.8241156802047</v>
      </c>
      <c r="AF30" s="17">
        <f t="shared" si="9"/>
        <v>112</v>
      </c>
      <c r="AG30" s="17">
        <f t="shared" si="10"/>
        <v>-100000</v>
      </c>
      <c r="AH30" s="17">
        <f t="shared" si="1"/>
        <v>55.199999999999996</v>
      </c>
      <c r="AI30" s="17">
        <f t="shared" si="2"/>
        <v>-100000</v>
      </c>
      <c r="AJ30" s="17">
        <f t="shared" si="3"/>
        <v>10.399999999999991</v>
      </c>
      <c r="AK30" s="18">
        <f t="shared" si="4"/>
        <v>-100000</v>
      </c>
      <c r="AL30" s="12"/>
      <c r="AM30" s="12"/>
      <c r="AN30" s="12"/>
      <c r="AO30" s="12"/>
      <c r="AP30" s="14"/>
      <c r="AQ30" s="14"/>
      <c r="AR30" s="14"/>
      <c r="AS30" s="14"/>
    </row>
    <row r="31" spans="1:45" s="2" customFormat="1" ht="13.5" customHeight="1">
      <c r="A31" s="22"/>
      <c r="B31" s="22"/>
      <c r="C31" s="22"/>
      <c r="D31" s="22"/>
      <c r="E31" s="14"/>
      <c r="F31" s="14"/>
      <c r="G31" s="14"/>
      <c r="H31" s="14"/>
      <c r="I31" s="14"/>
      <c r="J31" s="14"/>
      <c r="K31" s="14"/>
      <c r="L31" s="14"/>
      <c r="M31" s="14"/>
      <c r="N31" s="14"/>
      <c r="O31" s="14"/>
      <c r="P31" s="14"/>
      <c r="Q31" s="14"/>
      <c r="R31" s="14"/>
      <c r="S31" s="14"/>
      <c r="T31" s="14"/>
      <c r="U31" s="14"/>
      <c r="V31" s="14"/>
      <c r="W31" s="14"/>
      <c r="X31" s="14"/>
      <c r="Y31" s="14"/>
      <c r="Z31" s="14"/>
      <c r="AA31" s="16">
        <f t="shared" si="5"/>
        <v>116</v>
      </c>
      <c r="AB31" s="17">
        <f t="shared" si="0"/>
        <v>6014.425221011279</v>
      </c>
      <c r="AC31" s="17">
        <f t="shared" si="6"/>
        <v>62.174246642289994</v>
      </c>
      <c r="AD31" s="17">
        <f t="shared" si="7"/>
        <v>51.84849328457999</v>
      </c>
      <c r="AE31" s="17">
        <f t="shared" si="8"/>
        <v>203.1747789887208</v>
      </c>
      <c r="AF31" s="17">
        <f t="shared" si="9"/>
        <v>116</v>
      </c>
      <c r="AG31" s="17">
        <f t="shared" si="10"/>
        <v>-100000</v>
      </c>
      <c r="AH31" s="17">
        <f t="shared" si="1"/>
        <v>53.599999999999994</v>
      </c>
      <c r="AI31" s="17">
        <f t="shared" si="2"/>
        <v>-100000</v>
      </c>
      <c r="AJ31" s="17">
        <f t="shared" si="3"/>
        <v>7.199999999999989</v>
      </c>
      <c r="AK31" s="18">
        <f t="shared" si="4"/>
        <v>-100000</v>
      </c>
      <c r="AL31" s="12"/>
      <c r="AM31" s="12"/>
      <c r="AN31" s="12"/>
      <c r="AO31" s="12"/>
      <c r="AP31" s="14"/>
      <c r="AQ31" s="14"/>
      <c r="AR31" s="14"/>
      <c r="AS31" s="14"/>
    </row>
    <row r="32" spans="1:45" s="2" customFormat="1" ht="13.5" customHeight="1">
      <c r="A32" s="22"/>
      <c r="B32" s="22"/>
      <c r="C32" s="22"/>
      <c r="D32" s="22"/>
      <c r="E32" s="14"/>
      <c r="F32" s="14"/>
      <c r="G32" s="14"/>
      <c r="H32" s="14"/>
      <c r="I32" s="14"/>
      <c r="J32" s="14"/>
      <c r="K32" s="14"/>
      <c r="L32" s="14"/>
      <c r="M32" s="14"/>
      <c r="N32" s="14"/>
      <c r="O32" s="14"/>
      <c r="P32" s="14"/>
      <c r="Q32" s="14"/>
      <c r="R32" s="14"/>
      <c r="S32" s="14"/>
      <c r="T32" s="14"/>
      <c r="U32" s="14"/>
      <c r="V32" s="14"/>
      <c r="W32" s="14"/>
      <c r="X32" s="14"/>
      <c r="Y32" s="14"/>
      <c r="Z32" s="14"/>
      <c r="AA32" s="16">
        <f t="shared" si="5"/>
        <v>120</v>
      </c>
      <c r="AB32" s="17">
        <f t="shared" si="0"/>
        <v>6265.986323710904</v>
      </c>
      <c r="AC32" s="17">
        <f t="shared" si="6"/>
        <v>63.60827634879543</v>
      </c>
      <c r="AD32" s="17">
        <f t="shared" si="7"/>
        <v>52.21655269759086</v>
      </c>
      <c r="AE32" s="17">
        <f t="shared" si="8"/>
        <v>-25.986323710903605</v>
      </c>
      <c r="AF32" s="17">
        <f t="shared" si="9"/>
        <v>120</v>
      </c>
      <c r="AG32" s="17">
        <f t="shared" si="10"/>
        <v>-100000</v>
      </c>
      <c r="AH32" s="17">
        <f t="shared" si="1"/>
        <v>52</v>
      </c>
      <c r="AI32" s="17">
        <f t="shared" si="2"/>
        <v>-100000</v>
      </c>
      <c r="AJ32" s="17">
        <f t="shared" si="3"/>
        <v>4</v>
      </c>
      <c r="AK32" s="18">
        <f t="shared" si="4"/>
        <v>-100000</v>
      </c>
      <c r="AL32" s="12"/>
      <c r="AM32" s="12"/>
      <c r="AN32" s="12"/>
      <c r="AO32" s="12"/>
      <c r="AP32" s="14"/>
      <c r="AQ32" s="14"/>
      <c r="AR32" s="14"/>
      <c r="AS32" s="14"/>
    </row>
    <row r="33" spans="1:45" ht="13.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16">
        <f t="shared" si="5"/>
        <v>124</v>
      </c>
      <c r="AB33" s="17">
        <f t="shared" si="0"/>
        <v>6523.306559463661</v>
      </c>
      <c r="AC33" s="17">
        <f t="shared" si="6"/>
        <v>65.05365548170832</v>
      </c>
      <c r="AD33" s="17">
        <f t="shared" si="7"/>
        <v>52.60731096341663</v>
      </c>
      <c r="AE33" s="17">
        <f t="shared" si="8"/>
        <v>-273.7065594636623</v>
      </c>
      <c r="AF33" s="17">
        <f t="shared" si="9"/>
        <v>124</v>
      </c>
      <c r="AG33" s="17">
        <f t="shared" si="10"/>
        <v>-100000</v>
      </c>
      <c r="AH33" s="17">
        <f t="shared" si="1"/>
        <v>50.4</v>
      </c>
      <c r="AI33" s="17">
        <f t="shared" si="2"/>
        <v>-100000</v>
      </c>
      <c r="AJ33" s="17">
        <f t="shared" si="3"/>
        <v>0.7999999999999972</v>
      </c>
      <c r="AK33" s="18">
        <f t="shared" si="4"/>
        <v>-100000</v>
      </c>
      <c r="AL33" s="12"/>
      <c r="AM33" s="12"/>
      <c r="AN33" s="12"/>
      <c r="AO33" s="12"/>
      <c r="AP33" s="22"/>
      <c r="AQ33" s="22"/>
      <c r="AR33" s="22"/>
      <c r="AS33" s="22"/>
    </row>
    <row r="34" spans="1:45" ht="13.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16">
        <f t="shared" si="5"/>
        <v>128</v>
      </c>
      <c r="AB34" s="17">
        <f aca="true" t="shared" si="11" ref="AB34:AB55">AN$1*AA34^2+AN$2*AA34^0.5</f>
        <v>6786.429504179605</v>
      </c>
      <c r="AC34" s="17">
        <f t="shared" si="6"/>
        <v>66.50949025070157</v>
      </c>
      <c r="AD34" s="17">
        <f t="shared" si="7"/>
        <v>53.018980501403156</v>
      </c>
      <c r="AE34" s="17">
        <f t="shared" si="8"/>
        <v>-540.0295041796044</v>
      </c>
      <c r="AF34" s="17">
        <f t="shared" si="9"/>
        <v>128</v>
      </c>
      <c r="AG34" s="17">
        <f t="shared" si="10"/>
        <v>-100000</v>
      </c>
      <c r="AH34" s="17">
        <f aca="true" t="shared" si="12" ref="AH34:AH55">C$5-0.4*AA34</f>
        <v>48.8</v>
      </c>
      <c r="AI34" s="17">
        <f aca="true" t="shared" si="13" ref="AI34:AI55">IF($AA34&lt;=$C$13,C$14,-100000)</f>
        <v>-100000</v>
      </c>
      <c r="AJ34" s="17">
        <f aca="true" t="shared" si="14" ref="AJ34:AJ55">C$5-0.8*AA34</f>
        <v>-2.4000000000000057</v>
      </c>
      <c r="AK34" s="18">
        <f aca="true" t="shared" si="15" ref="AK34:AK55">IF(AI34&gt;0,C$16,-100000)</f>
        <v>-100000</v>
      </c>
      <c r="AL34" s="12"/>
      <c r="AM34" s="12"/>
      <c r="AN34" s="12"/>
      <c r="AO34" s="12"/>
      <c r="AP34" s="22"/>
      <c r="AQ34" s="22"/>
      <c r="AR34" s="22"/>
      <c r="AS34" s="22"/>
    </row>
    <row r="35" spans="1:45" ht="13.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6">
        <f aca="true" t="shared" si="16" ref="AA35:AA55">AA34+$C$6</f>
        <v>132</v>
      </c>
      <c r="AB35" s="17">
        <f t="shared" si="11"/>
        <v>7055.395354310701</v>
      </c>
      <c r="AC35" s="17">
        <f aca="true" t="shared" si="17" ref="AC35:AC55">2*AN$1*AA35+0.5*AN$2*AA35^-0.5</f>
        <v>67.97498240269205</v>
      </c>
      <c r="AD35" s="17">
        <f aca="true" t="shared" si="18" ref="AD35:AD55">AN$1*AA35+AN$2*AA35^-0.5</f>
        <v>53.4499648053841</v>
      </c>
      <c r="AE35" s="17">
        <f aca="true" t="shared" si="19" ref="AE35:AE55">(AH35-AD35)*AA35</f>
        <v>-824.9953543107016</v>
      </c>
      <c r="AF35" s="17">
        <f aca="true" t="shared" si="20" ref="AF35:AF55">IF(AE35&lt;AE$56,AA35,-1000000)</f>
        <v>132</v>
      </c>
      <c r="AG35" s="17">
        <f aca="true" t="shared" si="21" ref="AG35:AG55">IF(AF35&gt;0,-100000,AA35)</f>
        <v>-100000</v>
      </c>
      <c r="AH35" s="17">
        <f t="shared" si="12"/>
        <v>47.199999999999996</v>
      </c>
      <c r="AI35" s="17">
        <f t="shared" si="13"/>
        <v>-100000</v>
      </c>
      <c r="AJ35" s="17">
        <f t="shared" si="14"/>
        <v>-5.6000000000000085</v>
      </c>
      <c r="AK35" s="18">
        <f t="shared" si="15"/>
        <v>-100000</v>
      </c>
      <c r="AL35" s="12"/>
      <c r="AM35" s="12"/>
      <c r="AN35" s="12"/>
      <c r="AO35" s="12"/>
      <c r="AP35" s="22"/>
      <c r="AQ35" s="22"/>
      <c r="AR35" s="22"/>
      <c r="AS35" s="22"/>
    </row>
    <row r="36" spans="1:45" ht="13.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16">
        <f t="shared" si="16"/>
        <v>136</v>
      </c>
      <c r="AB36" s="17">
        <f t="shared" si="11"/>
        <v>7330.241282774747</v>
      </c>
      <c r="AC36" s="17">
        <f t="shared" si="17"/>
        <v>69.44941648078951</v>
      </c>
      <c r="AD36" s="17">
        <f t="shared" si="18"/>
        <v>53.89883296157901</v>
      </c>
      <c r="AE36" s="17">
        <f t="shared" si="19"/>
        <v>-1128.6412827747463</v>
      </c>
      <c r="AF36" s="17">
        <f t="shared" si="20"/>
        <v>136</v>
      </c>
      <c r="AG36" s="17">
        <f t="shared" si="21"/>
        <v>-100000</v>
      </c>
      <c r="AH36" s="17">
        <f t="shared" si="12"/>
        <v>45.599999999999994</v>
      </c>
      <c r="AI36" s="17">
        <f t="shared" si="13"/>
        <v>-100000</v>
      </c>
      <c r="AJ36" s="17">
        <f t="shared" si="14"/>
        <v>-8.800000000000011</v>
      </c>
      <c r="AK36" s="18">
        <f t="shared" si="15"/>
        <v>-100000</v>
      </c>
      <c r="AL36" s="12"/>
      <c r="AM36" s="12"/>
      <c r="AN36" s="12"/>
      <c r="AO36" s="12"/>
      <c r="AP36" s="22"/>
      <c r="AQ36" s="22"/>
      <c r="AR36" s="22"/>
      <c r="AS36" s="22"/>
    </row>
    <row r="37" spans="1:45" ht="13.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16">
        <f t="shared" si="16"/>
        <v>140</v>
      </c>
      <c r="AB37" s="17">
        <f t="shared" si="11"/>
        <v>7611.001748086121</v>
      </c>
      <c r="AC37" s="17">
        <f t="shared" si="17"/>
        <v>70.93214910030757</v>
      </c>
      <c r="AD37" s="17">
        <f t="shared" si="18"/>
        <v>54.364298200615146</v>
      </c>
      <c r="AE37" s="17">
        <f t="shared" si="19"/>
        <v>-1451.0017480861204</v>
      </c>
      <c r="AF37" s="17">
        <f t="shared" si="20"/>
        <v>140</v>
      </c>
      <c r="AG37" s="17">
        <f t="shared" si="21"/>
        <v>-100000</v>
      </c>
      <c r="AH37" s="17">
        <f t="shared" si="12"/>
        <v>44</v>
      </c>
      <c r="AI37" s="17">
        <f t="shared" si="13"/>
        <v>-100000</v>
      </c>
      <c r="AJ37" s="17">
        <f t="shared" si="14"/>
        <v>-12</v>
      </c>
      <c r="AK37" s="18">
        <f t="shared" si="15"/>
        <v>-100000</v>
      </c>
      <c r="AL37" s="12"/>
      <c r="AM37" s="12"/>
      <c r="AN37" s="12"/>
      <c r="AO37" s="12"/>
      <c r="AP37" s="22"/>
      <c r="AQ37" s="22"/>
      <c r="AR37" s="22"/>
      <c r="AS37" s="22"/>
    </row>
    <row r="38" spans="1:45" ht="13.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16">
        <f t="shared" si="16"/>
        <v>144</v>
      </c>
      <c r="AB38" s="17">
        <f t="shared" si="11"/>
        <v>7897.7087639996635</v>
      </c>
      <c r="AC38" s="17">
        <f t="shared" si="17"/>
        <v>72.42259987499884</v>
      </c>
      <c r="AD38" s="17">
        <f t="shared" si="18"/>
        <v>54.84519974999766</v>
      </c>
      <c r="AE38" s="17">
        <f t="shared" si="19"/>
        <v>-1792.1087639996636</v>
      </c>
      <c r="AF38" s="17">
        <f t="shared" si="20"/>
        <v>144</v>
      </c>
      <c r="AG38" s="17">
        <f t="shared" si="21"/>
        <v>-100000</v>
      </c>
      <c r="AH38" s="17">
        <f t="shared" si="12"/>
        <v>42.4</v>
      </c>
      <c r="AI38" s="17">
        <f t="shared" si="13"/>
        <v>-100000</v>
      </c>
      <c r="AJ38" s="17">
        <f t="shared" si="14"/>
        <v>-15.200000000000003</v>
      </c>
      <c r="AK38" s="18">
        <f t="shared" si="15"/>
        <v>-100000</v>
      </c>
      <c r="AL38" s="12"/>
      <c r="AM38" s="12"/>
      <c r="AN38" s="12"/>
      <c r="AO38" s="12"/>
      <c r="AP38" s="22"/>
      <c r="AQ38" s="22"/>
      <c r="AR38" s="22"/>
      <c r="AS38" s="22"/>
    </row>
    <row r="39" spans="1:45" ht="13.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16">
        <f t="shared" si="16"/>
        <v>148</v>
      </c>
      <c r="AB39" s="17">
        <f t="shared" si="11"/>
        <v>8190.392135662785</v>
      </c>
      <c r="AC39" s="17">
        <f t="shared" si="17"/>
        <v>73.92024370156346</v>
      </c>
      <c r="AD39" s="17">
        <f t="shared" si="18"/>
        <v>55.34048740312693</v>
      </c>
      <c r="AE39" s="17">
        <f t="shared" si="19"/>
        <v>-2151.992135662786</v>
      </c>
      <c r="AF39" s="17">
        <f t="shared" si="20"/>
        <v>148</v>
      </c>
      <c r="AG39" s="17">
        <f t="shared" si="21"/>
        <v>-100000</v>
      </c>
      <c r="AH39" s="17">
        <f t="shared" si="12"/>
        <v>40.8</v>
      </c>
      <c r="AI39" s="17">
        <f t="shared" si="13"/>
        <v>-100000</v>
      </c>
      <c r="AJ39" s="17">
        <f t="shared" si="14"/>
        <v>-18.400000000000006</v>
      </c>
      <c r="AK39" s="18">
        <f t="shared" si="15"/>
        <v>-100000</v>
      </c>
      <c r="AL39" s="12"/>
      <c r="AM39" s="12"/>
      <c r="AN39" s="12"/>
      <c r="AO39" s="12"/>
      <c r="AP39" s="22"/>
      <c r="AQ39" s="22"/>
      <c r="AR39" s="22"/>
      <c r="AS39" s="22"/>
    </row>
    <row r="40" spans="1:45" ht="13.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16">
        <f t="shared" si="16"/>
        <v>152</v>
      </c>
      <c r="AB40" s="17">
        <f t="shared" si="11"/>
        <v>8489.07966722406</v>
      </c>
      <c r="AC40" s="17">
        <f t="shared" si="17"/>
        <v>75.4246041685002</v>
      </c>
      <c r="AD40" s="17">
        <f t="shared" si="18"/>
        <v>55.84920833700039</v>
      </c>
      <c r="AE40" s="17">
        <f t="shared" si="19"/>
        <v>-2530.6796672240603</v>
      </c>
      <c r="AF40" s="17">
        <f t="shared" si="20"/>
        <v>152</v>
      </c>
      <c r="AG40" s="17">
        <f t="shared" si="21"/>
        <v>-100000</v>
      </c>
      <c r="AH40" s="17">
        <f t="shared" si="12"/>
        <v>39.199999999999996</v>
      </c>
      <c r="AI40" s="17">
        <f t="shared" si="13"/>
        <v>-100000</v>
      </c>
      <c r="AJ40" s="17">
        <f t="shared" si="14"/>
        <v>-21.60000000000001</v>
      </c>
      <c r="AK40" s="18">
        <f t="shared" si="15"/>
        <v>-100000</v>
      </c>
      <c r="AL40" s="12"/>
      <c r="AM40" s="12"/>
      <c r="AN40" s="12"/>
      <c r="AO40" s="12"/>
      <c r="AP40" s="22"/>
      <c r="AQ40" s="22"/>
      <c r="AR40" s="22"/>
      <c r="AS40" s="22"/>
    </row>
    <row r="41" spans="1:45" ht="13.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16">
        <f t="shared" si="16"/>
        <v>156</v>
      </c>
      <c r="AB41" s="17">
        <f t="shared" si="11"/>
        <v>8793.79734500505</v>
      </c>
      <c r="AC41" s="17">
        <f t="shared" si="17"/>
        <v>76.93524790065722</v>
      </c>
      <c r="AD41" s="17">
        <f t="shared" si="18"/>
        <v>56.370495801314426</v>
      </c>
      <c r="AE41" s="17">
        <f t="shared" si="19"/>
        <v>-2928.1973450050514</v>
      </c>
      <c r="AF41" s="17">
        <f t="shared" si="20"/>
        <v>156</v>
      </c>
      <c r="AG41" s="17">
        <f t="shared" si="21"/>
        <v>-100000</v>
      </c>
      <c r="AH41" s="17">
        <f t="shared" si="12"/>
        <v>37.599999999999994</v>
      </c>
      <c r="AI41" s="17">
        <f t="shared" si="13"/>
        <v>-100000</v>
      </c>
      <c r="AJ41" s="17">
        <f t="shared" si="14"/>
        <v>-24.80000000000001</v>
      </c>
      <c r="AK41" s="18">
        <f t="shared" si="15"/>
        <v>-100000</v>
      </c>
      <c r="AL41" s="12"/>
      <c r="AM41" s="12"/>
      <c r="AN41" s="12"/>
      <c r="AO41" s="12"/>
      <c r="AP41" s="22"/>
      <c r="AQ41" s="22"/>
      <c r="AR41" s="22"/>
      <c r="AS41" s="22"/>
    </row>
    <row r="42" spans="1:45" ht="13.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16">
        <f t="shared" si="16"/>
        <v>160</v>
      </c>
      <c r="AB42" s="17">
        <f t="shared" si="11"/>
        <v>9104.569499661588</v>
      </c>
      <c r="AC42" s="17">
        <f t="shared" si="17"/>
        <v>78.45177968644246</v>
      </c>
      <c r="AD42" s="17">
        <f t="shared" si="18"/>
        <v>56.903559372884914</v>
      </c>
      <c r="AE42" s="17">
        <f t="shared" si="19"/>
        <v>-3344.569499661586</v>
      </c>
      <c r="AF42" s="17">
        <f t="shared" si="20"/>
        <v>160</v>
      </c>
      <c r="AG42" s="17">
        <f t="shared" si="21"/>
        <v>-100000</v>
      </c>
      <c r="AH42" s="17">
        <f t="shared" si="12"/>
        <v>36</v>
      </c>
      <c r="AI42" s="17">
        <f t="shared" si="13"/>
        <v>-100000</v>
      </c>
      <c r="AJ42" s="17">
        <f t="shared" si="14"/>
        <v>-28</v>
      </c>
      <c r="AK42" s="18">
        <f t="shared" si="15"/>
        <v>-100000</v>
      </c>
      <c r="AL42" s="12"/>
      <c r="AM42" s="12"/>
      <c r="AN42" s="12"/>
      <c r="AO42" s="12"/>
      <c r="AP42" s="22"/>
      <c r="AQ42" s="22"/>
      <c r="AR42" s="22"/>
      <c r="AS42" s="22"/>
    </row>
    <row r="43" spans="1:45" ht="13.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16">
        <f t="shared" si="16"/>
        <v>164</v>
      </c>
      <c r="AB43" s="17">
        <f t="shared" si="11"/>
        <v>9421.418950207028</v>
      </c>
      <c r="AC43" s="17">
        <f t="shared" si="17"/>
        <v>79.97383826282632</v>
      </c>
      <c r="AD43" s="17">
        <f t="shared" si="18"/>
        <v>57.44767652565261</v>
      </c>
      <c r="AE43" s="17">
        <f t="shared" si="19"/>
        <v>-3779.8189502070295</v>
      </c>
      <c r="AF43" s="17">
        <f t="shared" si="20"/>
        <v>164</v>
      </c>
      <c r="AG43" s="17">
        <f t="shared" si="21"/>
        <v>-100000</v>
      </c>
      <c r="AH43" s="17">
        <f t="shared" si="12"/>
        <v>34.39999999999999</v>
      </c>
      <c r="AI43" s="17">
        <f t="shared" si="13"/>
        <v>-100000</v>
      </c>
      <c r="AJ43" s="17">
        <f t="shared" si="14"/>
        <v>-31.200000000000017</v>
      </c>
      <c r="AK43" s="18">
        <f t="shared" si="15"/>
        <v>-100000</v>
      </c>
      <c r="AL43" s="12"/>
      <c r="AM43" s="12"/>
      <c r="AN43" s="12"/>
      <c r="AO43" s="12"/>
      <c r="AP43" s="22"/>
      <c r="AQ43" s="22"/>
      <c r="AR43" s="22"/>
      <c r="AS43" s="22"/>
    </row>
    <row r="44" spans="1:45" ht="13.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16">
        <f t="shared" si="16"/>
        <v>168</v>
      </c>
      <c r="AB44" s="17">
        <f t="shared" si="11"/>
        <v>9744.367132317184</v>
      </c>
      <c r="AC44" s="17">
        <f t="shared" si="17"/>
        <v>81.5010926557059</v>
      </c>
      <c r="AD44" s="17">
        <f t="shared" si="18"/>
        <v>58.00218531141181</v>
      </c>
      <c r="AE44" s="17">
        <f t="shared" si="19"/>
        <v>-4233.967132317184</v>
      </c>
      <c r="AF44" s="17">
        <f t="shared" si="20"/>
        <v>168</v>
      </c>
      <c r="AG44" s="17">
        <f t="shared" si="21"/>
        <v>-100000</v>
      </c>
      <c r="AH44" s="17">
        <f t="shared" si="12"/>
        <v>32.8</v>
      </c>
      <c r="AI44" s="17">
        <f t="shared" si="13"/>
        <v>-100000</v>
      </c>
      <c r="AJ44" s="17">
        <f t="shared" si="14"/>
        <v>-34.400000000000006</v>
      </c>
      <c r="AK44" s="18">
        <f t="shared" si="15"/>
        <v>-100000</v>
      </c>
      <c r="AL44" s="12"/>
      <c r="AM44" s="12"/>
      <c r="AN44" s="12"/>
      <c r="AO44" s="12"/>
      <c r="AP44" s="22"/>
      <c r="AQ44" s="22"/>
      <c r="AR44" s="22"/>
      <c r="AS44" s="22"/>
    </row>
    <row r="45" spans="1:45" ht="13.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16">
        <f t="shared" si="16"/>
        <v>172</v>
      </c>
      <c r="AB45" s="17">
        <f t="shared" si="11"/>
        <v>10073.434212964048</v>
      </c>
      <c r="AC45" s="17">
        <f t="shared" si="17"/>
        <v>83.03323899117456</v>
      </c>
      <c r="AD45" s="17">
        <f t="shared" si="18"/>
        <v>58.56647798234911</v>
      </c>
      <c r="AE45" s="17">
        <f t="shared" si="19"/>
        <v>-4707.034212964047</v>
      </c>
      <c r="AF45" s="17">
        <f t="shared" si="20"/>
        <v>172</v>
      </c>
      <c r="AG45" s="17">
        <f t="shared" si="21"/>
        <v>-100000</v>
      </c>
      <c r="AH45" s="17">
        <f t="shared" si="12"/>
        <v>31.200000000000003</v>
      </c>
      <c r="AI45" s="17">
        <f t="shared" si="13"/>
        <v>-100000</v>
      </c>
      <c r="AJ45" s="17">
        <f t="shared" si="14"/>
        <v>-37.599999999999994</v>
      </c>
      <c r="AK45" s="18">
        <f t="shared" si="15"/>
        <v>-100000</v>
      </c>
      <c r="AL45" s="12"/>
      <c r="AM45" s="12"/>
      <c r="AN45" s="12"/>
      <c r="AO45" s="12"/>
      <c r="AP45" s="22"/>
      <c r="AQ45" s="22"/>
      <c r="AR45" s="22"/>
      <c r="AS45" s="22"/>
    </row>
    <row r="46" spans="1:45" ht="13.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16">
        <f t="shared" si="16"/>
        <v>176</v>
      </c>
      <c r="AB46" s="17">
        <f t="shared" si="11"/>
        <v>10408.639193117688</v>
      </c>
      <c r="AC46" s="17">
        <f t="shared" si="17"/>
        <v>84.56999770772072</v>
      </c>
      <c r="AD46" s="17">
        <f t="shared" si="18"/>
        <v>59.139995415441405</v>
      </c>
      <c r="AE46" s="17">
        <f t="shared" si="19"/>
        <v>-5199.039193117688</v>
      </c>
      <c r="AF46" s="17">
        <f t="shared" si="20"/>
        <v>176</v>
      </c>
      <c r="AG46" s="17">
        <f t="shared" si="21"/>
        <v>-100000</v>
      </c>
      <c r="AH46" s="17">
        <f t="shared" si="12"/>
        <v>29.599999999999994</v>
      </c>
      <c r="AI46" s="17">
        <f t="shared" si="13"/>
        <v>-100000</v>
      </c>
      <c r="AJ46" s="17">
        <f t="shared" si="14"/>
        <v>-40.80000000000001</v>
      </c>
      <c r="AK46" s="18">
        <f t="shared" si="15"/>
        <v>-100000</v>
      </c>
      <c r="AL46" s="12"/>
      <c r="AM46" s="12"/>
      <c r="AN46" s="12"/>
      <c r="AO46" s="12"/>
      <c r="AP46" s="22"/>
      <c r="AQ46" s="22"/>
      <c r="AR46" s="22"/>
      <c r="AS46" s="22"/>
    </row>
    <row r="47" spans="1:45" ht="13.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16">
        <f t="shared" si="16"/>
        <v>180</v>
      </c>
      <c r="AB47" s="17">
        <f t="shared" si="11"/>
        <v>10750</v>
      </c>
      <c r="AC47" s="17">
        <f t="shared" si="17"/>
        <v>86.11111111111111</v>
      </c>
      <c r="AD47" s="17">
        <f t="shared" si="18"/>
        <v>59.72222222222222</v>
      </c>
      <c r="AE47" s="17">
        <f t="shared" si="19"/>
        <v>-5710</v>
      </c>
      <c r="AF47" s="17">
        <f t="shared" si="20"/>
        <v>180</v>
      </c>
      <c r="AG47" s="17">
        <f t="shared" si="21"/>
        <v>-100000</v>
      </c>
      <c r="AH47" s="17">
        <f t="shared" si="12"/>
        <v>28</v>
      </c>
      <c r="AI47" s="17">
        <f t="shared" si="13"/>
        <v>-100000</v>
      </c>
      <c r="AJ47" s="17">
        <f t="shared" si="14"/>
        <v>-44</v>
      </c>
      <c r="AK47" s="18">
        <f t="shared" si="15"/>
        <v>-100000</v>
      </c>
      <c r="AL47" s="12"/>
      <c r="AM47" s="12"/>
      <c r="AN47" s="12"/>
      <c r="AO47" s="12"/>
      <c r="AP47" s="22"/>
      <c r="AQ47" s="22"/>
      <c r="AR47" s="22"/>
      <c r="AS47" s="22"/>
    </row>
    <row r="48" spans="1:45" ht="13.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16">
        <f t="shared" si="16"/>
        <v>184</v>
      </c>
      <c r="AB48" s="17">
        <f t="shared" si="11"/>
        <v>11097.533570160827</v>
      </c>
      <c r="AC48" s="17">
        <f t="shared" si="17"/>
        <v>87.65634122326313</v>
      </c>
      <c r="AD48" s="17">
        <f t="shared" si="18"/>
        <v>60.31268244652624</v>
      </c>
      <c r="AE48" s="17">
        <f t="shared" si="19"/>
        <v>-6239.93357016083</v>
      </c>
      <c r="AF48" s="17">
        <f t="shared" si="20"/>
        <v>184</v>
      </c>
      <c r="AG48" s="17">
        <f t="shared" si="21"/>
        <v>-100000</v>
      </c>
      <c r="AH48" s="17">
        <f t="shared" si="12"/>
        <v>26.39999999999999</v>
      </c>
      <c r="AI48" s="17">
        <f t="shared" si="13"/>
        <v>-100000</v>
      </c>
      <c r="AJ48" s="17">
        <f t="shared" si="14"/>
        <v>-47.20000000000002</v>
      </c>
      <c r="AK48" s="18">
        <f t="shared" si="15"/>
        <v>-100000</v>
      </c>
      <c r="AL48" s="12"/>
      <c r="AM48" s="12"/>
      <c r="AN48" s="12"/>
      <c r="AO48" s="12"/>
      <c r="AP48" s="22"/>
      <c r="AQ48" s="22"/>
      <c r="AR48" s="22"/>
      <c r="AS48" s="22"/>
    </row>
    <row r="49" spans="1:45" ht="13.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16">
        <f t="shared" si="16"/>
        <v>188</v>
      </c>
      <c r="AB49" s="17">
        <f t="shared" si="11"/>
        <v>11451.255924468238</v>
      </c>
      <c r="AC49" s="17">
        <f t="shared" si="17"/>
        <v>89.20546788422405</v>
      </c>
      <c r="AD49" s="17">
        <f t="shared" si="18"/>
        <v>60.91093576844808</v>
      </c>
      <c r="AE49" s="17">
        <f t="shared" si="19"/>
        <v>-6788.855924468239</v>
      </c>
      <c r="AF49" s="17">
        <f t="shared" si="20"/>
        <v>188</v>
      </c>
      <c r="AG49" s="17">
        <f t="shared" si="21"/>
        <v>-100000</v>
      </c>
      <c r="AH49" s="17">
        <f t="shared" si="12"/>
        <v>24.799999999999997</v>
      </c>
      <c r="AI49" s="17">
        <f t="shared" si="13"/>
        <v>-100000</v>
      </c>
      <c r="AJ49" s="17">
        <f t="shared" si="14"/>
        <v>-50.400000000000006</v>
      </c>
      <c r="AK49" s="18">
        <f t="shared" si="15"/>
        <v>-100000</v>
      </c>
      <c r="AL49" s="12"/>
      <c r="AM49" s="12"/>
      <c r="AN49" s="12"/>
      <c r="AO49" s="12"/>
      <c r="AP49" s="22"/>
      <c r="AQ49" s="22"/>
      <c r="AR49" s="22"/>
      <c r="AS49" s="22"/>
    </row>
    <row r="50" spans="1:45" ht="13.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16">
        <f t="shared" si="16"/>
        <v>192</v>
      </c>
      <c r="AB50" s="17">
        <f t="shared" si="11"/>
        <v>11811.182235954577</v>
      </c>
      <c r="AC50" s="17">
        <f t="shared" si="17"/>
        <v>90.75828707279838</v>
      </c>
      <c r="AD50" s="17">
        <f t="shared" si="18"/>
        <v>61.51657414559676</v>
      </c>
      <c r="AE50" s="17">
        <f t="shared" si="19"/>
        <v>-7356.782235954581</v>
      </c>
      <c r="AF50" s="17">
        <f t="shared" si="20"/>
        <v>192</v>
      </c>
      <c r="AG50" s="17">
        <f t="shared" si="21"/>
        <v>-100000</v>
      </c>
      <c r="AH50" s="17">
        <f t="shared" si="12"/>
        <v>23.19999999999999</v>
      </c>
      <c r="AI50" s="17">
        <f t="shared" si="13"/>
        <v>-100000</v>
      </c>
      <c r="AJ50" s="17">
        <f t="shared" si="14"/>
        <v>-53.60000000000002</v>
      </c>
      <c r="AK50" s="18">
        <f t="shared" si="15"/>
        <v>-100000</v>
      </c>
      <c r="AL50" s="12"/>
      <c r="AM50" s="12"/>
      <c r="AN50" s="12"/>
      <c r="AO50" s="12"/>
      <c r="AP50" s="22"/>
      <c r="AQ50" s="22"/>
      <c r="AR50" s="22"/>
      <c r="AS50" s="22"/>
    </row>
    <row r="51" spans="1:45" ht="13.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16">
        <f t="shared" si="16"/>
        <v>196</v>
      </c>
      <c r="AB51" s="17">
        <f t="shared" si="11"/>
        <v>12177.326891332941</v>
      </c>
      <c r="AC51" s="17">
        <f t="shared" si="17"/>
        <v>92.31460941666566</v>
      </c>
      <c r="AD51" s="17">
        <f t="shared" si="18"/>
        <v>62.12921883333133</v>
      </c>
      <c r="AE51" s="17">
        <f t="shared" si="19"/>
        <v>-7943.726891332942</v>
      </c>
      <c r="AF51" s="17">
        <f t="shared" si="20"/>
        <v>196</v>
      </c>
      <c r="AG51" s="17">
        <f t="shared" si="21"/>
        <v>-100000</v>
      </c>
      <c r="AH51" s="17">
        <f t="shared" si="12"/>
        <v>21.599999999999994</v>
      </c>
      <c r="AI51" s="17">
        <f t="shared" si="13"/>
        <v>-100000</v>
      </c>
      <c r="AJ51" s="17">
        <f t="shared" si="14"/>
        <v>-56.80000000000001</v>
      </c>
      <c r="AK51" s="18">
        <f t="shared" si="15"/>
        <v>-100000</v>
      </c>
      <c r="AL51" s="12"/>
      <c r="AM51" s="12"/>
      <c r="AN51" s="12"/>
      <c r="AO51" s="12"/>
      <c r="AP51" s="22"/>
      <c r="AQ51" s="22"/>
      <c r="AR51" s="22"/>
      <c r="AS51" s="22"/>
    </row>
    <row r="52" spans="1:45" ht="13.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16">
        <f t="shared" si="16"/>
        <v>200</v>
      </c>
      <c r="AB52" s="17">
        <f t="shared" si="11"/>
        <v>12549.703546891173</v>
      </c>
      <c r="AC52" s="17">
        <f t="shared" si="17"/>
        <v>93.87425886722794</v>
      </c>
      <c r="AD52" s="17">
        <f t="shared" si="18"/>
        <v>62.748517734455866</v>
      </c>
      <c r="AE52" s="17">
        <f t="shared" si="19"/>
        <v>-8549.703546891173</v>
      </c>
      <c r="AF52" s="17">
        <f t="shared" si="20"/>
        <v>200</v>
      </c>
      <c r="AG52" s="17">
        <f t="shared" si="21"/>
        <v>-100000</v>
      </c>
      <c r="AH52" s="17">
        <f t="shared" si="12"/>
        <v>20</v>
      </c>
      <c r="AI52" s="17">
        <f t="shared" si="13"/>
        <v>-100000</v>
      </c>
      <c r="AJ52" s="17">
        <f t="shared" si="14"/>
        <v>-60</v>
      </c>
      <c r="AK52" s="18">
        <f t="shared" si="15"/>
        <v>-100000</v>
      </c>
      <c r="AL52" s="12"/>
      <c r="AM52" s="12"/>
      <c r="AN52" s="12"/>
      <c r="AO52" s="12"/>
      <c r="AP52" s="22"/>
      <c r="AQ52" s="22"/>
      <c r="AR52" s="22"/>
      <c r="AS52" s="22"/>
    </row>
    <row r="53" spans="1:45" ht="13.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16">
        <f t="shared" si="16"/>
        <v>204</v>
      </c>
      <c r="AB53" s="17">
        <f t="shared" si="11"/>
        <v>12928.325179379017</v>
      </c>
      <c r="AC53" s="17">
        <f t="shared" si="17"/>
        <v>95.43707151808582</v>
      </c>
      <c r="AD53" s="17">
        <f t="shared" si="18"/>
        <v>63.374143036171645</v>
      </c>
      <c r="AE53" s="17">
        <f t="shared" si="19"/>
        <v>-9174.725179379016</v>
      </c>
      <c r="AF53" s="17">
        <f t="shared" si="20"/>
        <v>204</v>
      </c>
      <c r="AG53" s="17">
        <f t="shared" si="21"/>
        <v>-100000</v>
      </c>
      <c r="AH53" s="17">
        <f t="shared" si="12"/>
        <v>18.39999999999999</v>
      </c>
      <c r="AI53" s="17">
        <f t="shared" si="13"/>
        <v>-100000</v>
      </c>
      <c r="AJ53" s="17">
        <f t="shared" si="14"/>
        <v>-63.20000000000002</v>
      </c>
      <c r="AK53" s="18">
        <f t="shared" si="15"/>
        <v>-100000</v>
      </c>
      <c r="AL53" s="12"/>
      <c r="AM53" s="12"/>
      <c r="AN53" s="12"/>
      <c r="AO53" s="12"/>
      <c r="AP53" s="22"/>
      <c r="AQ53" s="22"/>
      <c r="AR53" s="22"/>
      <c r="AS53" s="22"/>
    </row>
    <row r="54" spans="1:45" ht="13.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16">
        <f t="shared" si="16"/>
        <v>208</v>
      </c>
      <c r="AB54" s="17">
        <f t="shared" si="11"/>
        <v>13313.204132425893</v>
      </c>
      <c r="AC54" s="17">
        <f t="shared" si="17"/>
        <v>97.00289454910072</v>
      </c>
      <c r="AD54" s="17">
        <f t="shared" si="18"/>
        <v>64.0057890982014</v>
      </c>
      <c r="AE54" s="17">
        <f t="shared" si="19"/>
        <v>-9818.804132425892</v>
      </c>
      <c r="AF54" s="17">
        <f t="shared" si="20"/>
        <v>208</v>
      </c>
      <c r="AG54" s="17">
        <f t="shared" si="21"/>
        <v>-100000</v>
      </c>
      <c r="AH54" s="17">
        <f t="shared" si="12"/>
        <v>16.799999999999997</v>
      </c>
      <c r="AI54" s="17">
        <f t="shared" si="13"/>
        <v>-100000</v>
      </c>
      <c r="AJ54" s="17">
        <f t="shared" si="14"/>
        <v>-66.4</v>
      </c>
      <c r="AK54" s="18">
        <f t="shared" si="15"/>
        <v>-100000</v>
      </c>
      <c r="AL54" s="12"/>
      <c r="AM54" s="12"/>
      <c r="AN54" s="12"/>
      <c r="AO54" s="12"/>
      <c r="AP54" s="22"/>
      <c r="AQ54" s="22"/>
      <c r="AR54" s="22"/>
      <c r="AS54" s="22"/>
    </row>
    <row r="55" spans="1:45" ht="13.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16">
        <f t="shared" si="16"/>
        <v>212</v>
      </c>
      <c r="AB55" s="17">
        <f t="shared" si="11"/>
        <v>13704.352158959922</v>
      </c>
      <c r="AC55" s="17">
        <f t="shared" si="17"/>
        <v>98.57158528056587</v>
      </c>
      <c r="AD55" s="17">
        <f t="shared" si="18"/>
        <v>64.64317056113171</v>
      </c>
      <c r="AE55" s="17">
        <f t="shared" si="19"/>
        <v>-10481.952158959924</v>
      </c>
      <c r="AF55" s="17">
        <f t="shared" si="20"/>
        <v>212</v>
      </c>
      <c r="AG55" s="17">
        <f t="shared" si="21"/>
        <v>-100000</v>
      </c>
      <c r="AH55" s="17">
        <f t="shared" si="12"/>
        <v>15.199999999999989</v>
      </c>
      <c r="AI55" s="17">
        <f t="shared" si="13"/>
        <v>-100000</v>
      </c>
      <c r="AJ55" s="17">
        <f t="shared" si="14"/>
        <v>-69.60000000000002</v>
      </c>
      <c r="AK55" s="18">
        <f t="shared" si="15"/>
        <v>-100000</v>
      </c>
      <c r="AL55" s="12"/>
      <c r="AM55" s="12"/>
      <c r="AN55" s="12"/>
      <c r="AO55" s="12"/>
      <c r="AP55" s="22"/>
      <c r="AQ55" s="22"/>
      <c r="AR55" s="22"/>
      <c r="AS55" s="22"/>
    </row>
    <row r="56" spans="1:45" ht="13.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12"/>
      <c r="AB56" s="12"/>
      <c r="AC56" s="12"/>
      <c r="AD56" s="12"/>
      <c r="AE56" s="12">
        <f>MAX(AE2:AE55)</f>
        <v>1528.52147805523</v>
      </c>
      <c r="AF56" s="12"/>
      <c r="AG56" s="12"/>
      <c r="AH56" s="12"/>
      <c r="AI56" s="12"/>
      <c r="AJ56" s="12"/>
      <c r="AK56" s="12"/>
      <c r="AL56" s="12"/>
      <c r="AM56" s="12"/>
      <c r="AN56" s="12"/>
      <c r="AO56" s="12"/>
      <c r="AP56" s="22"/>
      <c r="AQ56" s="22"/>
      <c r="AR56" s="22"/>
      <c r="AS56" s="22"/>
    </row>
    <row r="57" spans="1:45" ht="13.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12"/>
      <c r="AB57" s="12"/>
      <c r="AC57" s="12"/>
      <c r="AD57" s="12"/>
      <c r="AE57" s="12"/>
      <c r="AF57" s="12"/>
      <c r="AG57" s="12"/>
      <c r="AH57" s="12"/>
      <c r="AI57" s="12"/>
      <c r="AJ57" s="12"/>
      <c r="AK57" s="12"/>
      <c r="AL57" s="12"/>
      <c r="AM57" s="12"/>
      <c r="AN57" s="12"/>
      <c r="AO57" s="12"/>
      <c r="AP57" s="22"/>
      <c r="AQ57" s="22"/>
      <c r="AR57" s="22"/>
      <c r="AS57" s="22"/>
    </row>
    <row r="58" spans="1:45" ht="13.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row>
    <row r="59" spans="1:45" ht="13.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row>
    <row r="60" spans="1:45" ht="13.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row>
    <row r="61" spans="1:45" ht="13.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row>
    <row r="62" spans="1:45" ht="13.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row>
    <row r="63" spans="1:45" ht="13.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row>
    <row r="64" spans="1:45" ht="13.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row>
    <row r="65" spans="1:45" ht="13.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row>
    <row r="66" spans="1:45" ht="13.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row>
    <row r="67" spans="1:45" ht="13.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row>
    <row r="68" spans="1:45" ht="13.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row>
    <row r="69" spans="1:45" ht="13.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row>
    <row r="70" spans="1:45" ht="13.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row>
    <row r="71" spans="1:45" ht="13.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row>
    <row r="72" spans="1:45" ht="13.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row>
    <row r="73" spans="1:45" ht="13.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row>
    <row r="74" spans="1:45" ht="13.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row>
    <row r="75" spans="1:45" ht="13.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row>
    <row r="76" spans="1:45" ht="13.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row>
    <row r="77" spans="1:45" ht="13.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row>
    <row r="78" spans="1:45" ht="13.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row>
    <row r="79" spans="1:45" ht="13.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row>
    <row r="80" spans="1:45" ht="13.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row>
    <row r="81" spans="1:45" ht="13.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row>
    <row r="82" spans="1:45" ht="13.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row>
    <row r="83" spans="1:45" ht="13.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row>
    <row r="84" spans="1:45" ht="13.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row>
    <row r="85" spans="1:45" ht="13.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row>
    <row r="86" spans="1:45" ht="13.5" customHeight="1">
      <c r="A86" s="11" t="s">
        <v>29</v>
      </c>
      <c r="B86" s="11" t="s">
        <v>10</v>
      </c>
      <c r="C86" s="11" t="s">
        <v>26</v>
      </c>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row>
    <row r="87" spans="1:45" ht="13.5" customHeight="1">
      <c r="A87" s="19">
        <v>0</v>
      </c>
      <c r="B87" s="19"/>
      <c r="C87" s="19"/>
      <c r="D87" s="11" t="s">
        <v>7</v>
      </c>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row>
    <row r="88" spans="1:45" ht="13.5" customHeight="1">
      <c r="A88" s="19"/>
      <c r="B88" s="20"/>
      <c r="C88" s="20"/>
      <c r="D88" s="19"/>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row>
    <row r="89" spans="1:45" ht="13.5" customHeight="1">
      <c r="A89" s="19">
        <f>A87+6*C$6</f>
        <v>24</v>
      </c>
      <c r="B89" s="20">
        <f>AL11/A89</f>
        <v>65.85806194501845</v>
      </c>
      <c r="C89" s="20">
        <f>2*AN$1*A89+0.5*AN$2*A89^-0.5</f>
        <v>40.42903097250923</v>
      </c>
      <c r="D89" s="20">
        <f>(AL11-AL9)/(A89-A87)</f>
        <v>65.85806194501845</v>
      </c>
      <c r="E89" s="11" t="s">
        <v>47</v>
      </c>
      <c r="F89" s="11" t="s">
        <v>43</v>
      </c>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row>
    <row r="90" spans="1:45" ht="13.5" customHeight="1">
      <c r="A90" s="19"/>
      <c r="B90" s="20"/>
      <c r="C90" s="20"/>
      <c r="D90" s="20"/>
      <c r="E90" s="20">
        <f>$C$5-0.4*($A87)</f>
        <v>100</v>
      </c>
      <c r="F90" s="19"/>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row>
    <row r="91" spans="1:45" ht="13.5" customHeight="1">
      <c r="A91" s="19">
        <f>A89+6*C$6</f>
        <v>48</v>
      </c>
      <c r="B91" s="20">
        <f>AL13/A91</f>
        <v>53.03314829119352</v>
      </c>
      <c r="C91" s="20">
        <f>2*AN$1*A91+0.5*AN$2*A91^-0.5</f>
        <v>41.51657414559676</v>
      </c>
      <c r="D91" s="20">
        <f>(AL13-AL11)/(A91-A89)</f>
        <v>40.208234637368584</v>
      </c>
      <c r="E91" s="20"/>
      <c r="F91" s="20">
        <f>$C$5-0.8*($A87+$A89)/2</f>
        <v>90.4</v>
      </c>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row>
    <row r="92" spans="1:45" ht="13.5" customHeight="1">
      <c r="A92" s="19"/>
      <c r="B92" s="20"/>
      <c r="C92" s="20"/>
      <c r="D92" s="20"/>
      <c r="E92" s="20">
        <f>$C$5-0.4*($A89)</f>
        <v>90.4</v>
      </c>
      <c r="F92" s="19"/>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row>
    <row r="93" spans="1:45" ht="13.5" customHeight="1">
      <c r="A93" s="19">
        <f>A91+6*C$6</f>
        <v>72</v>
      </c>
      <c r="B93" s="20">
        <f>AL15/A93</f>
        <v>50.136418446315325</v>
      </c>
      <c r="C93" s="20">
        <f>2*AN$1*A93+0.5*AN$2*A93^-0.5</f>
        <v>47.568209223157666</v>
      </c>
      <c r="D93" s="20">
        <f>(AL15-AL13)/(A93-A91)</f>
        <v>44.342958756558936</v>
      </c>
      <c r="E93" s="20"/>
      <c r="F93" s="20">
        <f>$C$5-0.8*($A89+$A91)/2</f>
        <v>71.2</v>
      </c>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row>
    <row r="94" spans="1:45" ht="13.5" customHeight="1">
      <c r="A94" s="19"/>
      <c r="B94" s="20"/>
      <c r="C94" s="20"/>
      <c r="D94" s="20"/>
      <c r="E94" s="20">
        <f>$C$5-0.4*($A91)</f>
        <v>80.8</v>
      </c>
      <c r="F94" s="19"/>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row>
    <row r="95" spans="1:45" ht="13.5" customHeight="1">
      <c r="A95" s="19">
        <f>A93+6*C$6</f>
        <v>96</v>
      </c>
      <c r="B95" s="20">
        <f>AL17/A95</f>
        <v>50.429030972509224</v>
      </c>
      <c r="C95" s="20">
        <f>2*AN$1*A95+0.5*AN$2*A95^-0.5</f>
        <v>55.21451548625461</v>
      </c>
      <c r="D95" s="20">
        <f>(AL17-AL15)/(A95-A93)</f>
        <v>51.30686855109093</v>
      </c>
      <c r="E95" s="20"/>
      <c r="F95" s="20">
        <f>$C$5-0.8*($A91+$A93)/2</f>
        <v>52</v>
      </c>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row>
    <row r="96" spans="1:45" ht="13.5" customHeight="1">
      <c r="A96" s="19"/>
      <c r="B96" s="20"/>
      <c r="C96" s="20"/>
      <c r="D96" s="20"/>
      <c r="E96" s="20">
        <f>$C$5-0.4*($A93)</f>
        <v>71.2</v>
      </c>
      <c r="F96" s="19"/>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row>
    <row r="97" spans="1:45" ht="13.5" customHeight="1">
      <c r="A97" s="19">
        <f>A95+6*C$6</f>
        <v>120</v>
      </c>
      <c r="B97" s="20">
        <f>AL19/A97</f>
        <v>52.21655269759086</v>
      </c>
      <c r="C97" s="20">
        <f>2*AN$1*A97+0.5*AN$2*A97^-0.5</f>
        <v>63.60827634879543</v>
      </c>
      <c r="D97" s="20">
        <f>(AL19-AL17)/(A97-A95)</f>
        <v>59.366639597917434</v>
      </c>
      <c r="E97" s="20"/>
      <c r="F97" s="20">
        <f>$C$5-0.8*($A93+$A95)/2</f>
        <v>32.8</v>
      </c>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row>
    <row r="98" spans="1:45" ht="13.5" customHeight="1">
      <c r="A98" s="19"/>
      <c r="B98" s="20"/>
      <c r="C98" s="20"/>
      <c r="D98" s="20"/>
      <c r="E98" s="20">
        <f>$C$5-0.4*($A95)</f>
        <v>61.599999999999994</v>
      </c>
      <c r="F98" s="19"/>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row>
    <row r="99" spans="1:45" ht="13.5" customHeight="1">
      <c r="A99" s="19">
        <f>A97+6*C$6</f>
        <v>144</v>
      </c>
      <c r="B99" s="20">
        <f>AL21/A99</f>
        <v>54.84519974999766</v>
      </c>
      <c r="C99" s="20">
        <f>2*AN$1*A99+0.5*AN$2*A99^-0.5</f>
        <v>72.42259987499884</v>
      </c>
      <c r="D99" s="20">
        <f>(AL21-AL19)/(A99-A97)</f>
        <v>67.98843501203164</v>
      </c>
      <c r="E99" s="20"/>
      <c r="F99" s="20">
        <f>$C$5-0.8*($A95+$A97)/2</f>
        <v>13.599999999999994</v>
      </c>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row>
    <row r="100" spans="1:45" ht="13.5" customHeight="1">
      <c r="A100" s="19"/>
      <c r="B100" s="20"/>
      <c r="C100" s="20"/>
      <c r="D100" s="20"/>
      <c r="E100" s="20">
        <f>$C$5-0.4*($A97)</f>
        <v>52</v>
      </c>
      <c r="F100" s="19"/>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row>
    <row r="101" spans="1:45" ht="13.5" customHeight="1">
      <c r="A101" s="19">
        <f>A99+6*C$6</f>
        <v>168</v>
      </c>
      <c r="B101" s="20">
        <f>AL23/A101</f>
        <v>58.00218531141181</v>
      </c>
      <c r="C101" s="20">
        <f>2*AN$1*A101+0.5*AN$2*A101^-0.5</f>
        <v>81.5010926557059</v>
      </c>
      <c r="D101" s="20">
        <f>(AL23-AL21)/(A101-A99)</f>
        <v>76.94409867989668</v>
      </c>
      <c r="E101" s="20"/>
      <c r="F101" s="20">
        <f>$C$5-0.8*($A97+$A99)/2</f>
        <v>-5.6000000000000085</v>
      </c>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row>
    <row r="102" spans="1:45" ht="13.5" customHeight="1">
      <c r="A102" s="13"/>
      <c r="B102" s="13"/>
      <c r="C102" s="13"/>
      <c r="D102" s="20"/>
      <c r="E102" s="20">
        <f>$C$5-0.4*($A99)</f>
        <v>42.4</v>
      </c>
      <c r="F102" s="19"/>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row>
    <row r="103" spans="1:45" ht="13.5" customHeight="1">
      <c r="A103" s="12" t="s">
        <v>27</v>
      </c>
      <c r="B103" s="12"/>
      <c r="C103" s="12"/>
      <c r="D103" s="13"/>
      <c r="E103" s="20"/>
      <c r="F103" s="20">
        <f>$C$5-0.8*($A99+$A101)/2</f>
        <v>-24.80000000000001</v>
      </c>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row>
    <row r="104" spans="1:45" ht="13.5" customHeight="1">
      <c r="A104" s="12" t="s">
        <v>35</v>
      </c>
      <c r="B104" s="12"/>
      <c r="C104" s="12"/>
      <c r="D104" s="12"/>
      <c r="E104" s="20">
        <f>$C$5-0.4*($A101)</f>
        <v>32.8</v>
      </c>
      <c r="F104" s="19"/>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row>
    <row r="105" spans="1:45" ht="13.5" customHeight="1">
      <c r="A105" s="22"/>
      <c r="B105" s="22"/>
      <c r="C105" s="22"/>
      <c r="D105" s="12"/>
      <c r="E105" s="13"/>
      <c r="F105" s="13"/>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row>
    <row r="106" spans="1:45" ht="13.5" customHeight="1">
      <c r="A106" s="22"/>
      <c r="B106" s="22"/>
      <c r="C106" s="22"/>
      <c r="D106" s="22"/>
      <c r="E106" s="12"/>
      <c r="F106" s="12"/>
      <c r="G106" s="12"/>
      <c r="H106" s="1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row>
    <row r="107" spans="1:45" ht="13.5" customHeight="1">
      <c r="A107" s="22"/>
      <c r="B107" s="22"/>
      <c r="C107" s="22"/>
      <c r="D107" s="22"/>
      <c r="E107" s="12"/>
      <c r="F107" s="12"/>
      <c r="G107" s="12"/>
      <c r="H107" s="1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row>
    <row r="108" spans="1:45" ht="13.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row>
    <row r="109" spans="1:45" ht="13.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row>
    <row r="110" spans="1:45" ht="13.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row>
    <row r="111" spans="1:45" ht="13.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row>
    <row r="112" spans="1:45" ht="13.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row>
    <row r="113" spans="1:45" ht="13.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row>
    <row r="114" spans="1:45" ht="13.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row>
    <row r="115" spans="1:45" ht="13.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row>
    <row r="116" spans="1:45" ht="13.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row>
    <row r="117" spans="1:45" ht="13.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row>
    <row r="118" spans="1:45" ht="13.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row>
    <row r="119" spans="1:45" ht="13.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row>
    <row r="120" spans="1:45" ht="13.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row>
    <row r="121" spans="1:45" ht="13.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row>
    <row r="122" spans="1:45" ht="13.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row>
    <row r="123" spans="1:45" ht="13.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row>
    <row r="124" spans="1:45" ht="13.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row>
    <row r="125" spans="1:45" ht="13.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row>
    <row r="126" spans="1:45" ht="13.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row>
    <row r="127" spans="1:45" ht="13.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row>
    <row r="128" spans="1:45" ht="13.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row>
    <row r="129" spans="1:45" ht="13.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row>
    <row r="130" spans="1:45" ht="13.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13.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13.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row>
    <row r="133" spans="1:45" ht="13.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row>
    <row r="134" spans="1:45" ht="13.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row>
    <row r="135" spans="1:45" ht="13.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row>
    <row r="136" spans="1:45" ht="13.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row>
    <row r="137" spans="1:45" ht="13.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row>
    <row r="138" spans="1:45" ht="13.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row>
    <row r="139" spans="1:45" ht="13.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row>
    <row r="140" spans="1:45" ht="13.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row>
    <row r="141" spans="1:45" ht="13.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row>
    <row r="142" spans="1:45" ht="13.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row>
    <row r="143" spans="1:45" ht="13.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row>
    <row r="144" spans="1:45" ht="13.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row>
    <row r="145" spans="1:45" ht="13.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row>
    <row r="146" spans="1:45" ht="13.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row>
    <row r="147" spans="1:45" ht="13.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row>
    <row r="148" spans="4:45" ht="13.5" customHeight="1">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row>
    <row r="149" spans="5:45" ht="13.5" customHeight="1">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row>
    <row r="150" spans="5:45" ht="13.5" customHeight="1">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row>
  </sheetData>
  <mergeCells count="9">
    <mergeCell ref="A6:B6"/>
    <mergeCell ref="A3:B3"/>
    <mergeCell ref="A4:B4"/>
    <mergeCell ref="A5:B5"/>
    <mergeCell ref="A1:F1"/>
    <mergeCell ref="A13:B13"/>
    <mergeCell ref="A14:B14"/>
    <mergeCell ref="A15:B15"/>
    <mergeCell ref="A16:B16"/>
  </mergeCells>
  <printOptions/>
  <pageMargins left="0.25" right="0" top="1" bottom="1" header="0.5" footer="0.5"/>
  <pageSetup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BD150"/>
  <sheetViews>
    <sheetView workbookViewId="0" topLeftCell="A1">
      <selection activeCell="A1" sqref="A1:F1"/>
    </sheetView>
  </sheetViews>
  <sheetFormatPr defaultColWidth="9.140625" defaultRowHeight="15"/>
  <cols>
    <col min="1" max="1" width="11.57421875" style="0" customWidth="1"/>
    <col min="2" max="2" width="11.28125" style="0" customWidth="1"/>
    <col min="3" max="3" width="10.140625" style="0" bestFit="1" customWidth="1"/>
    <col min="13" max="13" width="6.7109375" style="0" customWidth="1"/>
    <col min="14" max="14" width="3.140625" style="0" customWidth="1"/>
    <col min="37" max="37" width="11.57421875" style="0" bestFit="1" customWidth="1"/>
  </cols>
  <sheetData>
    <row r="1" spans="1:56" s="2" customFormat="1" ht="18" customHeight="1">
      <c r="A1" s="84" t="s">
        <v>84</v>
      </c>
      <c r="B1" s="84"/>
      <c r="C1" s="84"/>
      <c r="D1" s="84"/>
      <c r="E1" s="84"/>
      <c r="F1" s="84"/>
      <c r="G1" s="38"/>
      <c r="H1" s="38"/>
      <c r="I1" s="38"/>
      <c r="J1" s="36"/>
      <c r="K1" s="36"/>
      <c r="L1" s="36"/>
      <c r="M1" s="36"/>
      <c r="N1" s="36"/>
      <c r="O1" s="36"/>
      <c r="P1" s="36"/>
      <c r="Q1" s="36"/>
      <c r="R1" s="36"/>
      <c r="S1" s="36"/>
      <c r="T1" s="36"/>
      <c r="U1" s="36"/>
      <c r="V1" s="36"/>
      <c r="W1" s="36"/>
      <c r="X1" s="36"/>
      <c r="Y1" s="36"/>
      <c r="Z1" s="36"/>
      <c r="AA1" s="65" t="s">
        <v>29</v>
      </c>
      <c r="AB1" s="66" t="s">
        <v>5</v>
      </c>
      <c r="AC1" s="66" t="s">
        <v>6</v>
      </c>
      <c r="AD1" s="66" t="s">
        <v>7</v>
      </c>
      <c r="AE1" s="66" t="s">
        <v>8</v>
      </c>
      <c r="AF1" s="66" t="s">
        <v>9</v>
      </c>
      <c r="AG1" s="66" t="s">
        <v>10</v>
      </c>
      <c r="AH1" s="66" t="s">
        <v>47</v>
      </c>
      <c r="AI1" s="66" t="s">
        <v>40</v>
      </c>
      <c r="AJ1" s="66" t="s">
        <v>48</v>
      </c>
      <c r="AK1" s="66" t="s">
        <v>49</v>
      </c>
      <c r="AL1" s="66" t="s">
        <v>50</v>
      </c>
      <c r="AM1" s="66" t="s">
        <v>39</v>
      </c>
      <c r="AN1" s="66" t="s">
        <v>48</v>
      </c>
      <c r="AO1" s="66" t="s">
        <v>49</v>
      </c>
      <c r="AP1" s="66" t="s">
        <v>50</v>
      </c>
      <c r="AQ1" s="66" t="s">
        <v>51</v>
      </c>
      <c r="AR1" s="66" t="s">
        <v>52</v>
      </c>
      <c r="AS1" s="67" t="s">
        <v>53</v>
      </c>
      <c r="AT1" s="36"/>
      <c r="AU1" s="24" t="s">
        <v>13</v>
      </c>
      <c r="AV1" s="24">
        <f>C4/(3*C3)</f>
        <v>0.20833333333333334</v>
      </c>
      <c r="AW1" s="81" t="s">
        <v>65</v>
      </c>
      <c r="AX1" s="81"/>
      <c r="AY1" s="25"/>
      <c r="AZ1" s="25"/>
      <c r="BA1" s="25"/>
      <c r="BB1" s="25"/>
      <c r="BC1" s="25"/>
      <c r="BD1" s="25"/>
    </row>
    <row r="2" spans="1:56" s="2" customFormat="1" ht="13.5" customHeight="1">
      <c r="A2" s="36"/>
      <c r="B2" s="36"/>
      <c r="C2" s="36"/>
      <c r="D2" s="36"/>
      <c r="E2" s="36"/>
      <c r="F2" s="38"/>
      <c r="G2" s="38"/>
      <c r="H2" s="38"/>
      <c r="I2" s="38"/>
      <c r="J2" s="36"/>
      <c r="K2" s="36"/>
      <c r="L2" s="36"/>
      <c r="M2" s="36"/>
      <c r="N2" s="36"/>
      <c r="O2" s="36"/>
      <c r="P2" s="36"/>
      <c r="Q2" s="36"/>
      <c r="R2" s="36"/>
      <c r="S2" s="36"/>
      <c r="T2" s="36"/>
      <c r="U2" s="36"/>
      <c r="V2" s="36"/>
      <c r="W2" s="36"/>
      <c r="X2" s="36"/>
      <c r="Y2" s="36"/>
      <c r="Z2" s="36"/>
      <c r="AA2" s="39">
        <v>0</v>
      </c>
      <c r="AB2" s="40">
        <f aca="true" t="shared" si="0" ref="AB2:AB33">AV$1*AA2^2+AV$2*AA2^0.5</f>
        <v>0</v>
      </c>
      <c r="AC2" s="40">
        <f aca="true" t="shared" si="1" ref="AC2:AC33">AV$6*AA2^3+AV$7</f>
        <v>3178.9644194442108</v>
      </c>
      <c r="AD2" s="40"/>
      <c r="AE2" s="40">
        <f aca="true" t="shared" si="2" ref="AE2:AE33">3*AV$6*AA2^2</f>
        <v>0</v>
      </c>
      <c r="AF2" s="40"/>
      <c r="AG2" s="40"/>
      <c r="AH2" s="48">
        <f aca="true" t="shared" si="3" ref="AH2:AH33">$C$6-0.4*$AA2</f>
        <v>120</v>
      </c>
      <c r="AI2" s="48">
        <f aca="true" t="shared" si="4" ref="AI2:AI33">$C$6-0.8*$AA2</f>
        <v>120</v>
      </c>
      <c r="AJ2" s="40"/>
      <c r="AK2" s="40"/>
      <c r="AL2" s="40"/>
      <c r="AM2" s="40">
        <f aca="true" t="shared" si="5" ref="AM2:AM33">IF(AA2&lt;=C$15,C$16,-100000)</f>
        <v>50.030002431617774</v>
      </c>
      <c r="AN2" s="40"/>
      <c r="AO2" s="40"/>
      <c r="AP2" s="40"/>
      <c r="AQ2" s="40">
        <f aca="true" t="shared" si="6" ref="AQ2:AQ33">IF(AA2&lt;=C$11,C$12,-100000)</f>
        <v>50.5153120501505</v>
      </c>
      <c r="AR2" s="40">
        <f aca="true" t="shared" si="7" ref="AR2:AR33">IF(AM2&gt;0,C$18,-100000)</f>
        <v>86.4</v>
      </c>
      <c r="AS2" s="41">
        <f aca="true" t="shared" si="8" ref="AS2:AS33">IF(AQ2&gt;0,C$14,-100000)</f>
        <v>83.19999999999999</v>
      </c>
      <c r="AT2" s="36"/>
      <c r="AU2" s="24" t="s">
        <v>15</v>
      </c>
      <c r="AV2" s="24">
        <f>(C4-AV1*C3)*C3^0.5</f>
        <v>298.14239699997194</v>
      </c>
      <c r="AW2" s="24"/>
      <c r="AX2" s="24"/>
      <c r="AY2" s="25"/>
      <c r="AZ2" s="25"/>
      <c r="BA2" s="25"/>
      <c r="BB2" s="25"/>
      <c r="BC2" s="25"/>
      <c r="BD2" s="25"/>
    </row>
    <row r="3" spans="1:56" s="2" customFormat="1" ht="13.5" customHeight="1">
      <c r="A3" s="74" t="s">
        <v>67</v>
      </c>
      <c r="B3" s="74"/>
      <c r="C3" s="60">
        <v>80</v>
      </c>
      <c r="D3" s="43"/>
      <c r="E3" s="43"/>
      <c r="F3" s="38"/>
      <c r="G3" s="38"/>
      <c r="H3" s="38"/>
      <c r="I3" s="38"/>
      <c r="J3" s="36"/>
      <c r="K3" s="36"/>
      <c r="L3" s="36"/>
      <c r="M3" s="36"/>
      <c r="N3" s="36"/>
      <c r="O3" s="36"/>
      <c r="P3" s="36"/>
      <c r="Q3" s="36"/>
      <c r="R3" s="36"/>
      <c r="S3" s="36"/>
      <c r="T3" s="36"/>
      <c r="U3" s="36"/>
      <c r="V3" s="36"/>
      <c r="W3" s="36"/>
      <c r="X3" s="36"/>
      <c r="Y3" s="36"/>
      <c r="Z3" s="36"/>
      <c r="AA3" s="39">
        <f aca="true" t="shared" si="9" ref="AA3:AA34">AA2+$C$7</f>
        <v>4</v>
      </c>
      <c r="AB3" s="40">
        <f t="shared" si="0"/>
        <v>599.6181273332772</v>
      </c>
      <c r="AC3" s="40">
        <f t="shared" si="1"/>
        <v>3179.0851101887797</v>
      </c>
      <c r="AD3" s="40">
        <f aca="true" t="shared" si="10" ref="AD3:AD34">2*AV$1*AA3+0.5*AV$2*AA3^-0.5</f>
        <v>76.20226591665966</v>
      </c>
      <c r="AE3" s="40">
        <f t="shared" si="2"/>
        <v>0.09051805842666442</v>
      </c>
      <c r="AF3" s="40">
        <f aca="true" t="shared" si="11" ref="AF3:AF34">AV$6*AA3^2+AV$7/AA3</f>
        <v>794.7712775471949</v>
      </c>
      <c r="AG3" s="40">
        <f aca="true" t="shared" si="12" ref="AG3:AG34">AV$1*AA3+AV$2*AA3^-0.5</f>
        <v>149.9045318333193</v>
      </c>
      <c r="AH3" s="48">
        <f t="shared" si="3"/>
        <v>118.4</v>
      </c>
      <c r="AI3" s="48">
        <f t="shared" si="4"/>
        <v>116.8</v>
      </c>
      <c r="AJ3" s="40">
        <f aca="true" t="shared" si="13" ref="AJ3:AJ34">(AH3-AG3)*AA3</f>
        <v>-126.01812733327722</v>
      </c>
      <c r="AK3" s="40">
        <f aca="true" t="shared" si="14" ref="AK3:AK34">IF(AJ3=AJ$56,-10000,AA3)</f>
        <v>4</v>
      </c>
      <c r="AL3" s="40">
        <f aca="true" t="shared" si="15" ref="AL3:AL34">IF(AK3&gt;0,-100000,AA3)</f>
        <v>-100000</v>
      </c>
      <c r="AM3" s="40">
        <f t="shared" si="5"/>
        <v>50.030002431617774</v>
      </c>
      <c r="AN3" s="40">
        <f aca="true" t="shared" si="16" ref="AN3:AN34">(AH3-AF3)*AA3</f>
        <v>-2705.48511018878</v>
      </c>
      <c r="AO3" s="40">
        <f aca="true" t="shared" si="17" ref="AO3:AO34">IF(AN3=AN$56,-10000,AA3)</f>
        <v>4</v>
      </c>
      <c r="AP3" s="40">
        <f aca="true" t="shared" si="18" ref="AP3:AP34">IF(AO3&gt;0,-100000,AA3)</f>
        <v>-100000</v>
      </c>
      <c r="AQ3" s="40">
        <f t="shared" si="6"/>
        <v>50.5153120501505</v>
      </c>
      <c r="AR3" s="40">
        <f t="shared" si="7"/>
        <v>86.4</v>
      </c>
      <c r="AS3" s="41">
        <f t="shared" si="8"/>
        <v>83.19999999999999</v>
      </c>
      <c r="AT3" s="36"/>
      <c r="AU3" s="24"/>
      <c r="AV3" s="24"/>
      <c r="AW3" s="24"/>
      <c r="AX3" s="24"/>
      <c r="AY3" s="25"/>
      <c r="AZ3" s="25"/>
      <c r="BA3" s="25"/>
      <c r="BB3" s="25"/>
      <c r="BC3" s="25"/>
      <c r="BD3" s="25"/>
    </row>
    <row r="4" spans="1:56" s="2" customFormat="1" ht="13.5" customHeight="1">
      <c r="A4" s="74" t="s">
        <v>68</v>
      </c>
      <c r="B4" s="74"/>
      <c r="C4" s="61">
        <v>50</v>
      </c>
      <c r="D4" s="43"/>
      <c r="E4" s="43"/>
      <c r="F4" s="38"/>
      <c r="G4" s="38"/>
      <c r="H4" s="38"/>
      <c r="I4" s="38"/>
      <c r="J4" s="36"/>
      <c r="K4" s="36"/>
      <c r="L4" s="36"/>
      <c r="M4" s="36"/>
      <c r="N4" s="36"/>
      <c r="O4" s="36"/>
      <c r="P4" s="36"/>
      <c r="Q4" s="36"/>
      <c r="R4" s="36"/>
      <c r="S4" s="36"/>
      <c r="T4" s="36"/>
      <c r="U4" s="36"/>
      <c r="V4" s="36"/>
      <c r="W4" s="36"/>
      <c r="X4" s="36"/>
      <c r="Y4" s="36"/>
      <c r="Z4" s="36"/>
      <c r="AA4" s="39">
        <f t="shared" si="9"/>
        <v>8</v>
      </c>
      <c r="AB4" s="40">
        <f t="shared" si="0"/>
        <v>856.6073760449012</v>
      </c>
      <c r="AC4" s="40">
        <f t="shared" si="1"/>
        <v>3179.929945400762</v>
      </c>
      <c r="AD4" s="40">
        <f t="shared" si="10"/>
        <v>56.03796100280631</v>
      </c>
      <c r="AE4" s="40">
        <f t="shared" si="2"/>
        <v>0.3620722337066577</v>
      </c>
      <c r="AF4" s="40">
        <f t="shared" si="11"/>
        <v>397.49124317509524</v>
      </c>
      <c r="AG4" s="40">
        <f t="shared" si="12"/>
        <v>107.07592200561263</v>
      </c>
      <c r="AH4" s="48">
        <f t="shared" si="3"/>
        <v>116.8</v>
      </c>
      <c r="AI4" s="48">
        <f t="shared" si="4"/>
        <v>113.6</v>
      </c>
      <c r="AJ4" s="40">
        <f t="shared" si="13"/>
        <v>77.79262395509897</v>
      </c>
      <c r="AK4" s="40">
        <f t="shared" si="14"/>
        <v>8</v>
      </c>
      <c r="AL4" s="40">
        <f t="shared" si="15"/>
        <v>-100000</v>
      </c>
      <c r="AM4" s="40">
        <f t="shared" si="5"/>
        <v>50.030002431617774</v>
      </c>
      <c r="AN4" s="40">
        <f t="shared" si="16"/>
        <v>-2245.529945400762</v>
      </c>
      <c r="AO4" s="40">
        <f t="shared" si="17"/>
        <v>8</v>
      </c>
      <c r="AP4" s="40">
        <f t="shared" si="18"/>
        <v>-100000</v>
      </c>
      <c r="AQ4" s="40">
        <f t="shared" si="6"/>
        <v>50.5153120501505</v>
      </c>
      <c r="AR4" s="40">
        <f t="shared" si="7"/>
        <v>86.4</v>
      </c>
      <c r="AS4" s="41">
        <f t="shared" si="8"/>
        <v>83.19999999999999</v>
      </c>
      <c r="AT4" s="36"/>
      <c r="AU4" s="82" t="s">
        <v>54</v>
      </c>
      <c r="AV4" s="82"/>
      <c r="AW4" s="82"/>
      <c r="AX4" s="82"/>
      <c r="AY4" s="25"/>
      <c r="AZ4" s="25"/>
      <c r="BA4" s="25"/>
      <c r="BB4" s="25"/>
      <c r="BC4" s="25"/>
      <c r="BD4" s="25"/>
    </row>
    <row r="5" spans="1:56" s="2" customFormat="1" ht="13.5" customHeight="1">
      <c r="A5" s="74" t="s">
        <v>70</v>
      </c>
      <c r="B5" s="74"/>
      <c r="C5" s="62">
        <v>100</v>
      </c>
      <c r="D5" s="49"/>
      <c r="E5" s="49"/>
      <c r="F5" s="38"/>
      <c r="G5" s="38"/>
      <c r="H5" s="38"/>
      <c r="I5" s="38"/>
      <c r="J5" s="36"/>
      <c r="K5" s="36"/>
      <c r="L5" s="36"/>
      <c r="M5" s="36"/>
      <c r="N5" s="36"/>
      <c r="O5" s="36"/>
      <c r="P5" s="36"/>
      <c r="Q5" s="36"/>
      <c r="R5" s="36"/>
      <c r="S5" s="36"/>
      <c r="T5" s="36"/>
      <c r="U5" s="36"/>
      <c r="V5" s="36"/>
      <c r="W5" s="36"/>
      <c r="X5" s="36"/>
      <c r="Y5" s="36"/>
      <c r="Z5" s="36"/>
      <c r="AA5" s="39">
        <f t="shared" si="9"/>
        <v>12</v>
      </c>
      <c r="AB5" s="40">
        <f t="shared" si="0"/>
        <v>1062.7955589886444</v>
      </c>
      <c r="AC5" s="40">
        <f t="shared" si="1"/>
        <v>3182.2230695475705</v>
      </c>
      <c r="AD5" s="40">
        <f t="shared" si="10"/>
        <v>48.03314829119353</v>
      </c>
      <c r="AE5" s="40">
        <f t="shared" si="2"/>
        <v>0.8146625258399798</v>
      </c>
      <c r="AF5" s="40">
        <f t="shared" si="11"/>
        <v>265.1852557956309</v>
      </c>
      <c r="AG5" s="40">
        <f t="shared" si="12"/>
        <v>88.56629658238705</v>
      </c>
      <c r="AH5" s="48">
        <f t="shared" si="3"/>
        <v>115.2</v>
      </c>
      <c r="AI5" s="48">
        <f t="shared" si="4"/>
        <v>110.4</v>
      </c>
      <c r="AJ5" s="40">
        <f t="shared" si="13"/>
        <v>319.6044410113554</v>
      </c>
      <c r="AK5" s="40">
        <f t="shared" si="14"/>
        <v>12</v>
      </c>
      <c r="AL5" s="40">
        <f t="shared" si="15"/>
        <v>-100000</v>
      </c>
      <c r="AM5" s="40">
        <f t="shared" si="5"/>
        <v>50.030002431617774</v>
      </c>
      <c r="AN5" s="40">
        <f t="shared" si="16"/>
        <v>-1799.8230695475709</v>
      </c>
      <c r="AO5" s="40">
        <f t="shared" si="17"/>
        <v>12</v>
      </c>
      <c r="AP5" s="40">
        <f t="shared" si="18"/>
        <v>-100000</v>
      </c>
      <c r="AQ5" s="40">
        <f t="shared" si="6"/>
        <v>50.5153120501505</v>
      </c>
      <c r="AR5" s="40">
        <f t="shared" si="7"/>
        <v>86.4</v>
      </c>
      <c r="AS5" s="41">
        <f t="shared" si="8"/>
        <v>83.19999999999999</v>
      </c>
      <c r="AT5" s="36"/>
      <c r="AU5" s="24" t="s">
        <v>19</v>
      </c>
      <c r="AV5" s="24">
        <f>2*AV1*C5+0.5*AV2*C5^-0.5</f>
        <v>56.573786516665265</v>
      </c>
      <c r="AW5" s="81" t="s">
        <v>20</v>
      </c>
      <c r="AX5" s="81"/>
      <c r="AY5" s="25"/>
      <c r="AZ5" s="25"/>
      <c r="BA5" s="25"/>
      <c r="BB5" s="25"/>
      <c r="BC5" s="25"/>
      <c r="BD5" s="25"/>
    </row>
    <row r="6" spans="1:56" s="2" customFormat="1" ht="13.5" customHeight="1">
      <c r="A6" s="77" t="s">
        <v>69</v>
      </c>
      <c r="B6" s="78"/>
      <c r="C6" s="61">
        <v>120</v>
      </c>
      <c r="D6" s="49"/>
      <c r="E6" s="49"/>
      <c r="F6" s="38"/>
      <c r="G6" s="38"/>
      <c r="H6" s="38"/>
      <c r="I6" s="38"/>
      <c r="J6" s="36"/>
      <c r="K6" s="36"/>
      <c r="L6" s="36"/>
      <c r="M6" s="36"/>
      <c r="N6" s="36"/>
      <c r="O6" s="36"/>
      <c r="P6" s="36"/>
      <c r="Q6" s="36"/>
      <c r="R6" s="36"/>
      <c r="S6" s="36"/>
      <c r="T6" s="36"/>
      <c r="U6" s="36"/>
      <c r="V6" s="36"/>
      <c r="W6" s="36"/>
      <c r="X6" s="36"/>
      <c r="Y6" s="36"/>
      <c r="Z6" s="36"/>
      <c r="AA6" s="39">
        <f t="shared" si="9"/>
        <v>16</v>
      </c>
      <c r="AB6" s="40">
        <f t="shared" si="0"/>
        <v>1245.902921333221</v>
      </c>
      <c r="AC6" s="40">
        <f t="shared" si="1"/>
        <v>3186.6886270966193</v>
      </c>
      <c r="AD6" s="40">
        <f t="shared" si="10"/>
        <v>43.934466291663156</v>
      </c>
      <c r="AE6" s="40">
        <f t="shared" si="2"/>
        <v>1.4482889348266308</v>
      </c>
      <c r="AF6" s="40">
        <f t="shared" si="11"/>
        <v>199.1680391935387</v>
      </c>
      <c r="AG6" s="40">
        <f t="shared" si="12"/>
        <v>77.86893258332631</v>
      </c>
      <c r="AH6" s="48">
        <f t="shared" si="3"/>
        <v>113.6</v>
      </c>
      <c r="AI6" s="48">
        <f t="shared" si="4"/>
        <v>107.2</v>
      </c>
      <c r="AJ6" s="40">
        <f t="shared" si="13"/>
        <v>571.6970786667789</v>
      </c>
      <c r="AK6" s="40">
        <f t="shared" si="14"/>
        <v>16</v>
      </c>
      <c r="AL6" s="40">
        <f t="shared" si="15"/>
        <v>-100000</v>
      </c>
      <c r="AM6" s="40">
        <f t="shared" si="5"/>
        <v>50.030002431617774</v>
      </c>
      <c r="AN6" s="40">
        <f t="shared" si="16"/>
        <v>-1369.0886270966193</v>
      </c>
      <c r="AO6" s="40">
        <f t="shared" si="17"/>
        <v>16</v>
      </c>
      <c r="AP6" s="40">
        <f t="shared" si="18"/>
        <v>-100000</v>
      </c>
      <c r="AQ6" s="40">
        <f t="shared" si="6"/>
        <v>50.5153120501505</v>
      </c>
      <c r="AR6" s="40">
        <f t="shared" si="7"/>
        <v>86.4</v>
      </c>
      <c r="AS6" s="41">
        <f t="shared" si="8"/>
        <v>83.19999999999999</v>
      </c>
      <c r="AT6" s="36"/>
      <c r="AU6" s="24" t="s">
        <v>21</v>
      </c>
      <c r="AV6" s="24">
        <f>AV5/(3*C5^2)</f>
        <v>0.0018857928838888422</v>
      </c>
      <c r="AW6" s="81" t="s">
        <v>64</v>
      </c>
      <c r="AX6" s="81"/>
      <c r="AY6" s="25"/>
      <c r="AZ6" s="25"/>
      <c r="BA6" s="25"/>
      <c r="BB6" s="25"/>
      <c r="BC6" s="25"/>
      <c r="BD6" s="25"/>
    </row>
    <row r="7" spans="1:56" s="2" customFormat="1" ht="13.5" customHeight="1">
      <c r="A7" s="77" t="s">
        <v>24</v>
      </c>
      <c r="B7" s="78"/>
      <c r="C7" s="60">
        <v>4</v>
      </c>
      <c r="D7" s="43"/>
      <c r="E7" s="43"/>
      <c r="F7" s="38"/>
      <c r="G7" s="38"/>
      <c r="H7" s="38"/>
      <c r="I7" s="38"/>
      <c r="J7" s="36"/>
      <c r="K7" s="36"/>
      <c r="L7" s="36"/>
      <c r="M7" s="36"/>
      <c r="N7" s="36"/>
      <c r="O7" s="36"/>
      <c r="P7" s="36"/>
      <c r="Q7" s="36"/>
      <c r="R7" s="36"/>
      <c r="S7" s="36"/>
      <c r="T7" s="36"/>
      <c r="U7" s="36"/>
      <c r="V7" s="36"/>
      <c r="W7" s="36"/>
      <c r="X7" s="36"/>
      <c r="Y7" s="36"/>
      <c r="Z7" s="36"/>
      <c r="AA7" s="39">
        <f t="shared" si="9"/>
        <v>20</v>
      </c>
      <c r="AB7" s="40">
        <f t="shared" si="0"/>
        <v>1416.6666666666665</v>
      </c>
      <c r="AC7" s="40">
        <f t="shared" si="1"/>
        <v>3194.0507625153214</v>
      </c>
      <c r="AD7" s="40">
        <f t="shared" si="10"/>
        <v>41.666666666666664</v>
      </c>
      <c r="AE7" s="40">
        <f t="shared" si="2"/>
        <v>2.262951460666611</v>
      </c>
      <c r="AF7" s="40">
        <f t="shared" si="11"/>
        <v>159.7025381257661</v>
      </c>
      <c r="AG7" s="40">
        <f t="shared" si="12"/>
        <v>70.83333333333333</v>
      </c>
      <c r="AH7" s="48">
        <f t="shared" si="3"/>
        <v>112</v>
      </c>
      <c r="AI7" s="48">
        <f t="shared" si="4"/>
        <v>104</v>
      </c>
      <c r="AJ7" s="40">
        <f t="shared" si="13"/>
        <v>823.3333333333335</v>
      </c>
      <c r="AK7" s="40">
        <f t="shared" si="14"/>
        <v>20</v>
      </c>
      <c r="AL7" s="40">
        <f t="shared" si="15"/>
        <v>-100000</v>
      </c>
      <c r="AM7" s="40">
        <f t="shared" si="5"/>
        <v>50.030002431617774</v>
      </c>
      <c r="AN7" s="40">
        <f t="shared" si="16"/>
        <v>-954.0507625153219</v>
      </c>
      <c r="AO7" s="40">
        <f t="shared" si="17"/>
        <v>20</v>
      </c>
      <c r="AP7" s="40">
        <f t="shared" si="18"/>
        <v>-100000</v>
      </c>
      <c r="AQ7" s="40">
        <f t="shared" si="6"/>
        <v>50.5153120501505</v>
      </c>
      <c r="AR7" s="40">
        <f t="shared" si="7"/>
        <v>86.4</v>
      </c>
      <c r="AS7" s="41">
        <f t="shared" si="8"/>
        <v>83.19999999999999</v>
      </c>
      <c r="AT7" s="36"/>
      <c r="AU7" s="24" t="s">
        <v>22</v>
      </c>
      <c r="AV7" s="24">
        <f>C5*C10-AV6*C5^3</f>
        <v>3178.9644194442108</v>
      </c>
      <c r="AW7" s="24"/>
      <c r="AX7" s="24"/>
      <c r="AY7" s="25"/>
      <c r="AZ7" s="25"/>
      <c r="BA7" s="25"/>
      <c r="BB7" s="25"/>
      <c r="BC7" s="25"/>
      <c r="BD7" s="25"/>
    </row>
    <row r="8" spans="1:56" s="2" customFormat="1" ht="13.5" customHeight="1">
      <c r="A8" s="36"/>
      <c r="B8" s="36"/>
      <c r="C8" s="36"/>
      <c r="D8" s="43"/>
      <c r="E8" s="43"/>
      <c r="F8" s="38"/>
      <c r="G8" s="38"/>
      <c r="H8" s="38"/>
      <c r="I8" s="38"/>
      <c r="J8" s="36"/>
      <c r="K8" s="36"/>
      <c r="L8" s="36"/>
      <c r="M8" s="36"/>
      <c r="N8" s="36"/>
      <c r="O8" s="36"/>
      <c r="P8" s="36"/>
      <c r="Q8" s="36"/>
      <c r="R8" s="36"/>
      <c r="S8" s="36"/>
      <c r="T8" s="36"/>
      <c r="U8" s="36"/>
      <c r="V8" s="36"/>
      <c r="W8" s="36"/>
      <c r="X8" s="36"/>
      <c r="Y8" s="36"/>
      <c r="Z8" s="36"/>
      <c r="AA8" s="39">
        <f t="shared" si="9"/>
        <v>24</v>
      </c>
      <c r="AB8" s="40">
        <f t="shared" si="0"/>
        <v>1580.5934866804428</v>
      </c>
      <c r="AC8" s="40">
        <f t="shared" si="1"/>
        <v>3205.03362027109</v>
      </c>
      <c r="AD8" s="40">
        <f t="shared" si="10"/>
        <v>40.42903097250923</v>
      </c>
      <c r="AE8" s="40">
        <f t="shared" si="2"/>
        <v>3.258650103359919</v>
      </c>
      <c r="AF8" s="40">
        <f t="shared" si="11"/>
        <v>133.54306751129542</v>
      </c>
      <c r="AG8" s="40">
        <f t="shared" si="12"/>
        <v>65.85806194501846</v>
      </c>
      <c r="AH8" s="48">
        <f t="shared" si="3"/>
        <v>110.4</v>
      </c>
      <c r="AI8" s="48">
        <f t="shared" si="4"/>
        <v>100.8</v>
      </c>
      <c r="AJ8" s="40">
        <f t="shared" si="13"/>
        <v>1069.0065133195571</v>
      </c>
      <c r="AK8" s="40">
        <f t="shared" si="14"/>
        <v>24</v>
      </c>
      <c r="AL8" s="40">
        <f t="shared" si="15"/>
        <v>-100000</v>
      </c>
      <c r="AM8" s="40">
        <f t="shared" si="5"/>
        <v>50.030002431617774</v>
      </c>
      <c r="AN8" s="40">
        <f t="shared" si="16"/>
        <v>-555.4336202710899</v>
      </c>
      <c r="AO8" s="40">
        <f t="shared" si="17"/>
        <v>24</v>
      </c>
      <c r="AP8" s="40">
        <f t="shared" si="18"/>
        <v>-100000</v>
      </c>
      <c r="AQ8" s="40">
        <f t="shared" si="6"/>
        <v>50.5153120501505</v>
      </c>
      <c r="AR8" s="40">
        <f t="shared" si="7"/>
        <v>86.4</v>
      </c>
      <c r="AS8" s="41">
        <f t="shared" si="8"/>
        <v>83.19999999999999</v>
      </c>
      <c r="AT8" s="36"/>
      <c r="AU8" s="24"/>
      <c r="AV8" s="24"/>
      <c r="AW8" s="24"/>
      <c r="AX8" s="24"/>
      <c r="AY8" s="25"/>
      <c r="AZ8" s="25"/>
      <c r="BA8" s="25"/>
      <c r="BB8" s="25"/>
      <c r="BC8" s="25"/>
      <c r="BD8" s="25"/>
    </row>
    <row r="9" spans="1:56" s="2" customFormat="1" ht="13.5" customHeight="1">
      <c r="A9" s="36"/>
      <c r="B9" s="36"/>
      <c r="C9" s="36"/>
      <c r="D9" s="43"/>
      <c r="E9" s="43"/>
      <c r="F9" s="38"/>
      <c r="G9" s="38"/>
      <c r="H9" s="38"/>
      <c r="I9" s="38"/>
      <c r="J9" s="36"/>
      <c r="K9" s="36"/>
      <c r="L9" s="36"/>
      <c r="M9" s="36"/>
      <c r="N9" s="36"/>
      <c r="O9" s="36"/>
      <c r="P9" s="36"/>
      <c r="Q9" s="36"/>
      <c r="R9" s="36"/>
      <c r="S9" s="36"/>
      <c r="T9" s="36"/>
      <c r="U9" s="36"/>
      <c r="V9" s="36"/>
      <c r="W9" s="36"/>
      <c r="X9" s="36"/>
      <c r="Y9" s="36"/>
      <c r="Z9" s="36"/>
      <c r="AA9" s="39">
        <f t="shared" si="9"/>
        <v>28</v>
      </c>
      <c r="AB9" s="40">
        <f t="shared" si="0"/>
        <v>1740.9546088265643</v>
      </c>
      <c r="AC9" s="40">
        <f t="shared" si="1"/>
        <v>3220.3613448313386</v>
      </c>
      <c r="AD9" s="40">
        <f t="shared" si="10"/>
        <v>39.83847515761721</v>
      </c>
      <c r="AE9" s="40">
        <f t="shared" si="2"/>
        <v>4.435384862906557</v>
      </c>
      <c r="AF9" s="40">
        <f t="shared" si="11"/>
        <v>115.01290517254782</v>
      </c>
      <c r="AG9" s="40">
        <f t="shared" si="12"/>
        <v>62.17695031523443</v>
      </c>
      <c r="AH9" s="48">
        <f t="shared" si="3"/>
        <v>108.8</v>
      </c>
      <c r="AI9" s="48">
        <f t="shared" si="4"/>
        <v>97.6</v>
      </c>
      <c r="AJ9" s="40">
        <f t="shared" si="13"/>
        <v>1305.4453911734358</v>
      </c>
      <c r="AK9" s="40">
        <f t="shared" si="14"/>
        <v>28</v>
      </c>
      <c r="AL9" s="40">
        <f t="shared" si="15"/>
        <v>-100000</v>
      </c>
      <c r="AM9" s="40">
        <f t="shared" si="5"/>
        <v>50.030002431617774</v>
      </c>
      <c r="AN9" s="40">
        <f t="shared" si="16"/>
        <v>-173.96134483133898</v>
      </c>
      <c r="AO9" s="40">
        <f t="shared" si="17"/>
        <v>28</v>
      </c>
      <c r="AP9" s="40">
        <f t="shared" si="18"/>
        <v>-100000</v>
      </c>
      <c r="AQ9" s="40">
        <f t="shared" si="6"/>
        <v>50.5153120501505</v>
      </c>
      <c r="AR9" s="40">
        <f t="shared" si="7"/>
        <v>86.4</v>
      </c>
      <c r="AS9" s="41">
        <f t="shared" si="8"/>
        <v>83.19999999999999</v>
      </c>
      <c r="AT9" s="36"/>
      <c r="AU9" s="26" t="s">
        <v>5</v>
      </c>
      <c r="AV9" s="27" t="s">
        <v>6</v>
      </c>
      <c r="AW9" s="24"/>
      <c r="AX9" s="24"/>
      <c r="AY9" s="25"/>
      <c r="AZ9" s="25"/>
      <c r="BA9" s="25"/>
      <c r="BB9" s="25"/>
      <c r="BC9" s="25"/>
      <c r="BD9" s="25"/>
    </row>
    <row r="10" spans="1:56" s="2" customFormat="1" ht="13.5" customHeight="1">
      <c r="A10" s="79" t="s">
        <v>77</v>
      </c>
      <c r="B10" s="80"/>
      <c r="C10" s="59">
        <f>AV1*C5+AV2*C5^-0.5</f>
        <v>50.64757303333053</v>
      </c>
      <c r="D10" s="43"/>
      <c r="E10" s="43"/>
      <c r="F10" s="38"/>
      <c r="G10" s="38"/>
      <c r="H10" s="38"/>
      <c r="I10" s="38"/>
      <c r="J10" s="36"/>
      <c r="K10" s="36"/>
      <c r="L10" s="36"/>
      <c r="M10" s="36"/>
      <c r="N10" s="36"/>
      <c r="O10" s="36"/>
      <c r="P10" s="36"/>
      <c r="Q10" s="36"/>
      <c r="R10" s="36"/>
      <c r="S10" s="36"/>
      <c r="T10" s="36"/>
      <c r="U10" s="36"/>
      <c r="V10" s="36"/>
      <c r="W10" s="36"/>
      <c r="X10" s="36"/>
      <c r="Y10" s="36"/>
      <c r="Z10" s="36"/>
      <c r="AA10" s="39">
        <f t="shared" si="9"/>
        <v>32</v>
      </c>
      <c r="AB10" s="40">
        <f t="shared" si="0"/>
        <v>1899.881418756469</v>
      </c>
      <c r="AC10" s="40">
        <f t="shared" si="1"/>
        <v>3240.7580806634805</v>
      </c>
      <c r="AD10" s="40">
        <f t="shared" si="10"/>
        <v>39.68564716806982</v>
      </c>
      <c r="AE10" s="40">
        <f t="shared" si="2"/>
        <v>5.793155739306523</v>
      </c>
      <c r="AF10" s="40">
        <f t="shared" si="11"/>
        <v>101.27369002073377</v>
      </c>
      <c r="AG10" s="40">
        <f t="shared" si="12"/>
        <v>59.37129433613964</v>
      </c>
      <c r="AH10" s="48">
        <f t="shared" si="3"/>
        <v>107.2</v>
      </c>
      <c r="AI10" s="48">
        <f t="shared" si="4"/>
        <v>94.4</v>
      </c>
      <c r="AJ10" s="40">
        <f t="shared" si="13"/>
        <v>1530.5185812435316</v>
      </c>
      <c r="AK10" s="40">
        <f t="shared" si="14"/>
        <v>32</v>
      </c>
      <c r="AL10" s="40">
        <f t="shared" si="15"/>
        <v>-100000</v>
      </c>
      <c r="AM10" s="40">
        <f t="shared" si="5"/>
        <v>50.030002431617774</v>
      </c>
      <c r="AN10" s="40">
        <f t="shared" si="16"/>
        <v>189.64191933651955</v>
      </c>
      <c r="AO10" s="40">
        <f t="shared" si="17"/>
        <v>32</v>
      </c>
      <c r="AP10" s="40">
        <f t="shared" si="18"/>
        <v>-100000</v>
      </c>
      <c r="AQ10" s="40">
        <f t="shared" si="6"/>
        <v>50.5153120501505</v>
      </c>
      <c r="AR10" s="40">
        <f t="shared" si="7"/>
        <v>86.4</v>
      </c>
      <c r="AS10" s="41">
        <f t="shared" si="8"/>
        <v>83.19999999999999</v>
      </c>
      <c r="AT10" s="36"/>
      <c r="AU10" s="28">
        <f>AV$1*A86^2+AV$2*A86^0.5</f>
        <v>0</v>
      </c>
      <c r="AV10" s="31">
        <f>AV$6*A86^3+AV$7</f>
        <v>3178.9644194442108</v>
      </c>
      <c r="AW10" s="24"/>
      <c r="AX10" s="24"/>
      <c r="AY10" s="25"/>
      <c r="AZ10" s="25"/>
      <c r="BA10" s="25"/>
      <c r="BB10" s="25"/>
      <c r="BC10" s="25"/>
      <c r="BD10" s="25"/>
    </row>
    <row r="11" spans="1:56" s="2" customFormat="1" ht="13.5" customHeight="1">
      <c r="A11" s="75" t="s">
        <v>79</v>
      </c>
      <c r="B11" s="76"/>
      <c r="C11" s="54">
        <f>MAX(AP2:AP55)</f>
        <v>92</v>
      </c>
      <c r="D11" s="50"/>
      <c r="E11" s="50"/>
      <c r="F11" s="38"/>
      <c r="G11" s="38"/>
      <c r="H11" s="38"/>
      <c r="I11" s="38"/>
      <c r="J11" s="36"/>
      <c r="K11" s="36"/>
      <c r="L11" s="36"/>
      <c r="M11" s="36"/>
      <c r="N11" s="36"/>
      <c r="O11" s="36"/>
      <c r="P11" s="36"/>
      <c r="Q11" s="36"/>
      <c r="R11" s="36"/>
      <c r="S11" s="36"/>
      <c r="T11" s="36"/>
      <c r="U11" s="36"/>
      <c r="V11" s="36"/>
      <c r="W11" s="36"/>
      <c r="X11" s="36"/>
      <c r="Y11" s="36"/>
      <c r="Z11" s="36"/>
      <c r="AA11" s="39">
        <f t="shared" si="9"/>
        <v>36</v>
      </c>
      <c r="AB11" s="40">
        <f t="shared" si="0"/>
        <v>2058.8543819998317</v>
      </c>
      <c r="AC11" s="40">
        <f t="shared" si="1"/>
        <v>3266.947972234929</v>
      </c>
      <c r="AD11" s="40">
        <f t="shared" si="10"/>
        <v>39.84519974999766</v>
      </c>
      <c r="AE11" s="40">
        <f t="shared" si="2"/>
        <v>7.331962732559818</v>
      </c>
      <c r="AF11" s="40">
        <f t="shared" si="11"/>
        <v>90.74855478430356</v>
      </c>
      <c r="AG11" s="40">
        <f t="shared" si="12"/>
        <v>57.19039949999532</v>
      </c>
      <c r="AH11" s="48">
        <f t="shared" si="3"/>
        <v>105.6</v>
      </c>
      <c r="AI11" s="48">
        <f t="shared" si="4"/>
        <v>91.2</v>
      </c>
      <c r="AJ11" s="40">
        <f t="shared" si="13"/>
        <v>1742.7456180001682</v>
      </c>
      <c r="AK11" s="40">
        <f t="shared" si="14"/>
        <v>36</v>
      </c>
      <c r="AL11" s="40">
        <f t="shared" si="15"/>
        <v>-100000</v>
      </c>
      <c r="AM11" s="40">
        <f t="shared" si="5"/>
        <v>50.030002431617774</v>
      </c>
      <c r="AN11" s="40">
        <f t="shared" si="16"/>
        <v>534.6520277650715</v>
      </c>
      <c r="AO11" s="40">
        <f t="shared" si="17"/>
        <v>36</v>
      </c>
      <c r="AP11" s="40">
        <f t="shared" si="18"/>
        <v>-100000</v>
      </c>
      <c r="AQ11" s="40">
        <f t="shared" si="6"/>
        <v>50.5153120501505</v>
      </c>
      <c r="AR11" s="40">
        <f t="shared" si="7"/>
        <v>86.4</v>
      </c>
      <c r="AS11" s="41">
        <f t="shared" si="8"/>
        <v>83.19999999999999</v>
      </c>
      <c r="AT11" s="36"/>
      <c r="AU11" s="28"/>
      <c r="AV11" s="31"/>
      <c r="AW11" s="24"/>
      <c r="AX11" s="24"/>
      <c r="AY11" s="25"/>
      <c r="AZ11" s="25"/>
      <c r="BA11" s="25"/>
      <c r="BB11" s="25"/>
      <c r="BC11" s="25"/>
      <c r="BD11" s="25"/>
    </row>
    <row r="12" spans="1:56" s="2" customFormat="1" ht="13.5" customHeight="1">
      <c r="A12" s="75" t="s">
        <v>56</v>
      </c>
      <c r="B12" s="76"/>
      <c r="C12" s="55">
        <f>(AV6*C11^2+AV7/C11)</f>
        <v>50.5153120501505</v>
      </c>
      <c r="D12" s="50"/>
      <c r="E12" s="50"/>
      <c r="F12" s="38"/>
      <c r="G12" s="38"/>
      <c r="H12" s="38"/>
      <c r="I12" s="38"/>
      <c r="J12" s="36"/>
      <c r="K12" s="36"/>
      <c r="L12" s="36"/>
      <c r="M12" s="36"/>
      <c r="N12" s="36"/>
      <c r="O12" s="36"/>
      <c r="P12" s="36"/>
      <c r="Q12" s="36"/>
      <c r="R12" s="36"/>
      <c r="S12" s="36"/>
      <c r="T12" s="36"/>
      <c r="U12" s="36"/>
      <c r="V12" s="36"/>
      <c r="W12" s="36"/>
      <c r="X12" s="36"/>
      <c r="Y12" s="36"/>
      <c r="Z12" s="36"/>
      <c r="AA12" s="39">
        <f t="shared" si="9"/>
        <v>40</v>
      </c>
      <c r="AB12" s="40">
        <f t="shared" si="0"/>
        <v>2218.9514164974603</v>
      </c>
      <c r="AC12" s="40">
        <f t="shared" si="1"/>
        <v>3299.6551640130965</v>
      </c>
      <c r="AD12" s="40">
        <f t="shared" si="10"/>
        <v>40.23689270621825</v>
      </c>
      <c r="AE12" s="40">
        <f t="shared" si="2"/>
        <v>9.051805842666443</v>
      </c>
      <c r="AF12" s="40">
        <f t="shared" si="11"/>
        <v>82.49137910032742</v>
      </c>
      <c r="AG12" s="40">
        <f t="shared" si="12"/>
        <v>55.4737854124365</v>
      </c>
      <c r="AH12" s="48">
        <f t="shared" si="3"/>
        <v>104</v>
      </c>
      <c r="AI12" s="48">
        <f t="shared" si="4"/>
        <v>88</v>
      </c>
      <c r="AJ12" s="40">
        <f t="shared" si="13"/>
        <v>1941.0485835025402</v>
      </c>
      <c r="AK12" s="40">
        <f t="shared" si="14"/>
        <v>40</v>
      </c>
      <c r="AL12" s="40">
        <f t="shared" si="15"/>
        <v>-100000</v>
      </c>
      <c r="AM12" s="40">
        <f t="shared" si="5"/>
        <v>50.030002431617774</v>
      </c>
      <c r="AN12" s="40">
        <f t="shared" si="16"/>
        <v>860.3448359869031</v>
      </c>
      <c r="AO12" s="40">
        <f t="shared" si="17"/>
        <v>40</v>
      </c>
      <c r="AP12" s="40">
        <f t="shared" si="18"/>
        <v>-100000</v>
      </c>
      <c r="AQ12" s="40">
        <f t="shared" si="6"/>
        <v>50.5153120501505</v>
      </c>
      <c r="AR12" s="40">
        <f t="shared" si="7"/>
        <v>86.4</v>
      </c>
      <c r="AS12" s="41">
        <f t="shared" si="8"/>
        <v>83.19999999999999</v>
      </c>
      <c r="AT12" s="36"/>
      <c r="AU12" s="28">
        <f>AV$1*A88^2+AV$2*A88^0.5</f>
        <v>1580.5934866804428</v>
      </c>
      <c r="AV12" s="31">
        <f>AV$6*A88^3+AV$7</f>
        <v>3205.03362027109</v>
      </c>
      <c r="AW12" s="24"/>
      <c r="AX12" s="24"/>
      <c r="AY12" s="25"/>
      <c r="AZ12" s="25"/>
      <c r="BA12" s="25"/>
      <c r="BB12" s="25"/>
      <c r="BC12" s="25"/>
      <c r="BD12" s="25"/>
    </row>
    <row r="13" spans="1:56" s="2" customFormat="1" ht="13.5" customHeight="1">
      <c r="A13" s="75" t="s">
        <v>58</v>
      </c>
      <c r="B13" s="76"/>
      <c r="C13" s="55">
        <f>(C14-C12)*C11</f>
        <v>3006.991291386153</v>
      </c>
      <c r="D13" s="43"/>
      <c r="E13" s="43"/>
      <c r="F13" s="36"/>
      <c r="G13" s="38"/>
      <c r="H13" s="38"/>
      <c r="I13" s="38"/>
      <c r="J13" s="36"/>
      <c r="K13" s="36"/>
      <c r="L13" s="36"/>
      <c r="M13" s="36"/>
      <c r="N13" s="36"/>
      <c r="O13" s="36"/>
      <c r="P13" s="36"/>
      <c r="Q13" s="36"/>
      <c r="R13" s="36"/>
      <c r="S13" s="36"/>
      <c r="T13" s="36"/>
      <c r="U13" s="36"/>
      <c r="V13" s="36"/>
      <c r="W13" s="36"/>
      <c r="X13" s="36"/>
      <c r="Y13" s="36"/>
      <c r="Z13" s="36"/>
      <c r="AA13" s="39">
        <f t="shared" si="9"/>
        <v>44</v>
      </c>
      <c r="AB13" s="40">
        <f t="shared" si="0"/>
        <v>2380.98626322551</v>
      </c>
      <c r="AC13" s="40">
        <f t="shared" si="1"/>
        <v>3339.603800465398</v>
      </c>
      <c r="AD13" s="40">
        <f t="shared" si="10"/>
        <v>40.80666208210807</v>
      </c>
      <c r="AE13" s="40">
        <f t="shared" si="2"/>
        <v>10.952685069626396</v>
      </c>
      <c r="AF13" s="40">
        <f t="shared" si="11"/>
        <v>75.9000863742136</v>
      </c>
      <c r="AG13" s="40">
        <f t="shared" si="12"/>
        <v>54.11332416421614</v>
      </c>
      <c r="AH13" s="48">
        <f t="shared" si="3"/>
        <v>102.4</v>
      </c>
      <c r="AI13" s="48">
        <f t="shared" si="4"/>
        <v>84.8</v>
      </c>
      <c r="AJ13" s="40">
        <f t="shared" si="13"/>
        <v>2124.61373677449</v>
      </c>
      <c r="AK13" s="40">
        <f t="shared" si="14"/>
        <v>44</v>
      </c>
      <c r="AL13" s="40">
        <f t="shared" si="15"/>
        <v>-100000</v>
      </c>
      <c r="AM13" s="40">
        <f t="shared" si="5"/>
        <v>50.030002431617774</v>
      </c>
      <c r="AN13" s="40">
        <f t="shared" si="16"/>
        <v>1165.9961995346018</v>
      </c>
      <c r="AO13" s="40">
        <f t="shared" si="17"/>
        <v>44</v>
      </c>
      <c r="AP13" s="40">
        <f t="shared" si="18"/>
        <v>-100000</v>
      </c>
      <c r="AQ13" s="40">
        <f t="shared" si="6"/>
        <v>50.5153120501505</v>
      </c>
      <c r="AR13" s="40">
        <f t="shared" si="7"/>
        <v>86.4</v>
      </c>
      <c r="AS13" s="41">
        <f t="shared" si="8"/>
        <v>83.19999999999999</v>
      </c>
      <c r="AT13" s="36"/>
      <c r="AU13" s="28"/>
      <c r="AV13" s="31"/>
      <c r="AW13" s="24"/>
      <c r="AX13" s="24"/>
      <c r="AY13" s="25"/>
      <c r="AZ13" s="25"/>
      <c r="BA13" s="25"/>
      <c r="BB13" s="25"/>
      <c r="BC13" s="25"/>
      <c r="BD13" s="25"/>
    </row>
    <row r="14" spans="1:56" s="2" customFormat="1" ht="13.5" customHeight="1">
      <c r="A14" s="75" t="s">
        <v>60</v>
      </c>
      <c r="B14" s="76"/>
      <c r="C14" s="54">
        <f>C6-0.4*C11</f>
        <v>83.19999999999999</v>
      </c>
      <c r="D14" s="43"/>
      <c r="E14" s="43"/>
      <c r="F14" s="38"/>
      <c r="G14" s="38"/>
      <c r="H14" s="38"/>
      <c r="I14" s="38"/>
      <c r="J14" s="36"/>
      <c r="K14" s="36"/>
      <c r="L14" s="36"/>
      <c r="M14" s="36"/>
      <c r="N14" s="36"/>
      <c r="O14" s="36"/>
      <c r="P14" s="36"/>
      <c r="Q14" s="36"/>
      <c r="R14" s="36"/>
      <c r="S14" s="36"/>
      <c r="T14" s="36"/>
      <c r="U14" s="36"/>
      <c r="V14" s="36"/>
      <c r="W14" s="36"/>
      <c r="X14" s="36"/>
      <c r="Y14" s="36"/>
      <c r="Z14" s="36"/>
      <c r="AA14" s="39">
        <f t="shared" si="9"/>
        <v>48</v>
      </c>
      <c r="AB14" s="40">
        <f t="shared" si="0"/>
        <v>2545.591117977289</v>
      </c>
      <c r="AC14" s="40">
        <f t="shared" si="1"/>
        <v>3387.5180260592456</v>
      </c>
      <c r="AD14" s="40">
        <f t="shared" si="10"/>
        <v>41.51657414559676</v>
      </c>
      <c r="AE14" s="40">
        <f t="shared" si="2"/>
        <v>13.034600413439676</v>
      </c>
      <c r="AF14" s="40">
        <f t="shared" si="11"/>
        <v>70.57329220956761</v>
      </c>
      <c r="AG14" s="40">
        <f t="shared" si="12"/>
        <v>53.03314829119353</v>
      </c>
      <c r="AH14" s="48">
        <f t="shared" si="3"/>
        <v>100.8</v>
      </c>
      <c r="AI14" s="48">
        <f t="shared" si="4"/>
        <v>81.6</v>
      </c>
      <c r="AJ14" s="40">
        <f t="shared" si="13"/>
        <v>2292.8088820227103</v>
      </c>
      <c r="AK14" s="40">
        <f t="shared" si="14"/>
        <v>48</v>
      </c>
      <c r="AL14" s="40">
        <f t="shared" si="15"/>
        <v>-100000</v>
      </c>
      <c r="AM14" s="40">
        <f t="shared" si="5"/>
        <v>50.030002431617774</v>
      </c>
      <c r="AN14" s="40">
        <f t="shared" si="16"/>
        <v>1450.8819739407545</v>
      </c>
      <c r="AO14" s="40">
        <f t="shared" si="17"/>
        <v>48</v>
      </c>
      <c r="AP14" s="40">
        <f t="shared" si="18"/>
        <v>-100000</v>
      </c>
      <c r="AQ14" s="40">
        <f t="shared" si="6"/>
        <v>50.5153120501505</v>
      </c>
      <c r="AR14" s="40">
        <f t="shared" si="7"/>
        <v>86.4</v>
      </c>
      <c r="AS14" s="41">
        <f t="shared" si="8"/>
        <v>83.19999999999999</v>
      </c>
      <c r="AT14" s="36"/>
      <c r="AU14" s="28">
        <f>AV$1*A90^2+AV$2*A90^0.5</f>
        <v>2545.591117977289</v>
      </c>
      <c r="AV14" s="31">
        <f>AV$6*A90^3+AV$7</f>
        <v>3387.5180260592456</v>
      </c>
      <c r="AW14" s="24"/>
      <c r="AX14" s="24"/>
      <c r="AY14" s="25"/>
      <c r="AZ14" s="25"/>
      <c r="BA14" s="25"/>
      <c r="BB14" s="25"/>
      <c r="BC14" s="25"/>
      <c r="BD14" s="25"/>
    </row>
    <row r="15" spans="1:56" s="2" customFormat="1" ht="13.5" customHeight="1">
      <c r="A15" s="75" t="s">
        <v>80</v>
      </c>
      <c r="B15" s="76"/>
      <c r="C15" s="54">
        <f>IF(C6&gt;C4,MAX(AL3:AL55),0)</f>
        <v>84</v>
      </c>
      <c r="D15" s="50"/>
      <c r="E15" s="50"/>
      <c r="F15" s="38"/>
      <c r="G15" s="38"/>
      <c r="H15" s="38"/>
      <c r="I15" s="38"/>
      <c r="J15" s="36"/>
      <c r="K15" s="36"/>
      <c r="L15" s="36"/>
      <c r="M15" s="36"/>
      <c r="N15" s="36"/>
      <c r="O15" s="36"/>
      <c r="P15" s="36"/>
      <c r="Q15" s="36"/>
      <c r="R15" s="36"/>
      <c r="S15" s="36"/>
      <c r="T15" s="36"/>
      <c r="U15" s="36"/>
      <c r="V15" s="36"/>
      <c r="W15" s="36"/>
      <c r="X15" s="36"/>
      <c r="Y15" s="36"/>
      <c r="Z15" s="36"/>
      <c r="AA15" s="39">
        <f t="shared" si="9"/>
        <v>52</v>
      </c>
      <c r="AB15" s="40">
        <f t="shared" si="0"/>
        <v>2713.2687328796133</v>
      </c>
      <c r="AC15" s="40">
        <f t="shared" si="1"/>
        <v>3444.121985262053</v>
      </c>
      <c r="AD15" s="40">
        <f t="shared" si="10"/>
        <v>42.33912243153475</v>
      </c>
      <c r="AE15" s="40">
        <f t="shared" si="2"/>
        <v>15.297551874106288</v>
      </c>
      <c r="AF15" s="40">
        <f t="shared" si="11"/>
        <v>66.23311510119333</v>
      </c>
      <c r="AG15" s="40">
        <f t="shared" si="12"/>
        <v>52.17824486306949</v>
      </c>
      <c r="AH15" s="48">
        <f t="shared" si="3"/>
        <v>99.2</v>
      </c>
      <c r="AI15" s="48">
        <f t="shared" si="4"/>
        <v>78.4</v>
      </c>
      <c r="AJ15" s="40">
        <f t="shared" si="13"/>
        <v>2445.131267120387</v>
      </c>
      <c r="AK15" s="40">
        <f t="shared" si="14"/>
        <v>52</v>
      </c>
      <c r="AL15" s="40">
        <f t="shared" si="15"/>
        <v>-100000</v>
      </c>
      <c r="AM15" s="40">
        <f t="shared" si="5"/>
        <v>50.030002431617774</v>
      </c>
      <c r="AN15" s="40">
        <f t="shared" si="16"/>
        <v>1714.2780147379467</v>
      </c>
      <c r="AO15" s="40">
        <f t="shared" si="17"/>
        <v>52</v>
      </c>
      <c r="AP15" s="40">
        <f t="shared" si="18"/>
        <v>-100000</v>
      </c>
      <c r="AQ15" s="40">
        <f t="shared" si="6"/>
        <v>50.5153120501505</v>
      </c>
      <c r="AR15" s="40">
        <f t="shared" si="7"/>
        <v>86.4</v>
      </c>
      <c r="AS15" s="41">
        <f t="shared" si="8"/>
        <v>83.19999999999999</v>
      </c>
      <c r="AT15" s="36"/>
      <c r="AU15" s="28"/>
      <c r="AV15" s="31"/>
      <c r="AW15" s="24"/>
      <c r="AX15" s="24"/>
      <c r="AY15" s="25"/>
      <c r="AZ15" s="25"/>
      <c r="BA15" s="25"/>
      <c r="BB15" s="25"/>
      <c r="BC15" s="25"/>
      <c r="BD15" s="25"/>
    </row>
    <row r="16" spans="1:56" s="2" customFormat="1" ht="13.5" customHeight="1">
      <c r="A16" s="75" t="s">
        <v>55</v>
      </c>
      <c r="B16" s="76"/>
      <c r="C16" s="55">
        <f>AV1*C15+AV2/C15^0.5</f>
        <v>50.030002431617774</v>
      </c>
      <c r="D16" s="43"/>
      <c r="E16" s="50"/>
      <c r="F16" s="36"/>
      <c r="G16" s="36"/>
      <c r="H16" s="38"/>
      <c r="I16" s="38"/>
      <c r="J16" s="36"/>
      <c r="K16" s="36"/>
      <c r="L16" s="36"/>
      <c r="M16" s="36"/>
      <c r="N16" s="36"/>
      <c r="O16" s="36"/>
      <c r="P16" s="36"/>
      <c r="Q16" s="36"/>
      <c r="R16" s="36"/>
      <c r="S16" s="36"/>
      <c r="T16" s="36"/>
      <c r="U16" s="36"/>
      <c r="V16" s="36"/>
      <c r="W16" s="36"/>
      <c r="X16" s="36"/>
      <c r="Y16" s="36"/>
      <c r="Z16" s="36"/>
      <c r="AA16" s="39">
        <f t="shared" si="9"/>
        <v>56</v>
      </c>
      <c r="AB16" s="40">
        <f t="shared" si="0"/>
        <v>2884.4267374242013</v>
      </c>
      <c r="AC16" s="40">
        <f t="shared" si="1"/>
        <v>3510.1398225412336</v>
      </c>
      <c r="AD16" s="40">
        <f t="shared" si="10"/>
        <v>43.253810155573234</v>
      </c>
      <c r="AE16" s="40">
        <f t="shared" si="2"/>
        <v>17.741539451626227</v>
      </c>
      <c r="AF16" s="40">
        <f t="shared" si="11"/>
        <v>62.68106825966489</v>
      </c>
      <c r="AG16" s="40">
        <f t="shared" si="12"/>
        <v>51.507620311146454</v>
      </c>
      <c r="AH16" s="48">
        <f t="shared" si="3"/>
        <v>97.6</v>
      </c>
      <c r="AI16" s="48">
        <f t="shared" si="4"/>
        <v>75.19999999999999</v>
      </c>
      <c r="AJ16" s="40">
        <f t="shared" si="13"/>
        <v>2581.173262575798</v>
      </c>
      <c r="AK16" s="40">
        <f t="shared" si="14"/>
        <v>56</v>
      </c>
      <c r="AL16" s="40">
        <f t="shared" si="15"/>
        <v>-100000</v>
      </c>
      <c r="AM16" s="40">
        <f t="shared" si="5"/>
        <v>50.030002431617774</v>
      </c>
      <c r="AN16" s="40">
        <f t="shared" si="16"/>
        <v>1955.4601774587659</v>
      </c>
      <c r="AO16" s="40">
        <f t="shared" si="17"/>
        <v>56</v>
      </c>
      <c r="AP16" s="40">
        <f t="shared" si="18"/>
        <v>-100000</v>
      </c>
      <c r="AQ16" s="40">
        <f t="shared" si="6"/>
        <v>50.5153120501505</v>
      </c>
      <c r="AR16" s="40">
        <f t="shared" si="7"/>
        <v>86.4</v>
      </c>
      <c r="AS16" s="41">
        <f t="shared" si="8"/>
        <v>83.19999999999999</v>
      </c>
      <c r="AT16" s="36"/>
      <c r="AU16" s="28">
        <f>AV$1*A92^2+AV$2*A92^0.5</f>
        <v>3609.8221281347032</v>
      </c>
      <c r="AV16" s="31">
        <f>AV$6*A92^3+AV$7</f>
        <v>3882.832841769953</v>
      </c>
      <c r="AW16" s="24"/>
      <c r="AX16" s="24"/>
      <c r="AY16" s="25"/>
      <c r="AZ16" s="25"/>
      <c r="BA16" s="25"/>
      <c r="BB16" s="25"/>
      <c r="BC16" s="25"/>
      <c r="BD16" s="25"/>
    </row>
    <row r="17" spans="1:56" s="2" customFormat="1" ht="13.5" customHeight="1">
      <c r="A17" s="75" t="s">
        <v>57</v>
      </c>
      <c r="B17" s="76"/>
      <c r="C17" s="55">
        <f>(C6-C16)*C15</f>
        <v>5877.479795744107</v>
      </c>
      <c r="D17" s="43"/>
      <c r="E17" s="50"/>
      <c r="F17" s="36"/>
      <c r="G17" s="36"/>
      <c r="H17" s="38"/>
      <c r="I17" s="38"/>
      <c r="J17" s="36"/>
      <c r="K17" s="36"/>
      <c r="L17" s="36"/>
      <c r="M17" s="36"/>
      <c r="N17" s="36"/>
      <c r="O17" s="36"/>
      <c r="P17" s="36"/>
      <c r="Q17" s="36"/>
      <c r="R17" s="36"/>
      <c r="S17" s="36"/>
      <c r="T17" s="36"/>
      <c r="U17" s="36"/>
      <c r="V17" s="36"/>
      <c r="W17" s="36"/>
      <c r="X17" s="36"/>
      <c r="Y17" s="36"/>
      <c r="Z17" s="36"/>
      <c r="AA17" s="39">
        <f t="shared" si="9"/>
        <v>60</v>
      </c>
      <c r="AB17" s="40">
        <f t="shared" si="0"/>
        <v>3059.4010767585028</v>
      </c>
      <c r="AC17" s="40">
        <f t="shared" si="1"/>
        <v>3586.2956823642007</v>
      </c>
      <c r="AD17" s="40">
        <f t="shared" si="10"/>
        <v>44.24500897298752</v>
      </c>
      <c r="AE17" s="40">
        <f t="shared" si="2"/>
        <v>20.366563145999496</v>
      </c>
      <c r="AF17" s="40">
        <f t="shared" si="11"/>
        <v>59.77159470607001</v>
      </c>
      <c r="AG17" s="40">
        <f t="shared" si="12"/>
        <v>50.99001794597504</v>
      </c>
      <c r="AH17" s="48">
        <f t="shared" si="3"/>
        <v>96</v>
      </c>
      <c r="AI17" s="48">
        <f t="shared" si="4"/>
        <v>72</v>
      </c>
      <c r="AJ17" s="40">
        <f t="shared" si="13"/>
        <v>2700.5989232414977</v>
      </c>
      <c r="AK17" s="40">
        <f t="shared" si="14"/>
        <v>60</v>
      </c>
      <c r="AL17" s="40">
        <f t="shared" si="15"/>
        <v>-100000</v>
      </c>
      <c r="AM17" s="40">
        <f t="shared" si="5"/>
        <v>50.030002431617774</v>
      </c>
      <c r="AN17" s="40">
        <f t="shared" si="16"/>
        <v>2173.7043176357993</v>
      </c>
      <c r="AO17" s="40">
        <f t="shared" si="17"/>
        <v>60</v>
      </c>
      <c r="AP17" s="40">
        <f t="shared" si="18"/>
        <v>-100000</v>
      </c>
      <c r="AQ17" s="40">
        <f t="shared" si="6"/>
        <v>50.5153120501505</v>
      </c>
      <c r="AR17" s="40">
        <f t="shared" si="7"/>
        <v>86.4</v>
      </c>
      <c r="AS17" s="41">
        <f t="shared" si="8"/>
        <v>83.19999999999999</v>
      </c>
      <c r="AT17" s="36"/>
      <c r="AU17" s="28"/>
      <c r="AV17" s="31"/>
      <c r="AW17" s="24"/>
      <c r="AX17" s="24"/>
      <c r="AY17" s="25"/>
      <c r="AZ17" s="25"/>
      <c r="BA17" s="25"/>
      <c r="BB17" s="25"/>
      <c r="BC17" s="25"/>
      <c r="BD17" s="25"/>
    </row>
    <row r="18" spans="1:56" s="2" customFormat="1" ht="13.5" customHeight="1">
      <c r="A18" s="75" t="s">
        <v>59</v>
      </c>
      <c r="B18" s="76"/>
      <c r="C18" s="55">
        <f>C6-0.4*C15</f>
        <v>86.4</v>
      </c>
      <c r="D18" s="43"/>
      <c r="E18" s="50"/>
      <c r="F18" s="36"/>
      <c r="G18" s="36"/>
      <c r="H18" s="38"/>
      <c r="I18" s="38"/>
      <c r="J18" s="36"/>
      <c r="K18" s="36"/>
      <c r="L18" s="36"/>
      <c r="M18" s="36"/>
      <c r="N18" s="36"/>
      <c r="O18" s="36"/>
      <c r="P18" s="36"/>
      <c r="Q18" s="36"/>
      <c r="R18" s="36"/>
      <c r="S18" s="36"/>
      <c r="T18" s="36"/>
      <c r="U18" s="36"/>
      <c r="V18" s="36"/>
      <c r="W18" s="36"/>
      <c r="X18" s="36"/>
      <c r="Y18" s="36"/>
      <c r="Z18" s="36"/>
      <c r="AA18" s="39">
        <f t="shared" si="9"/>
        <v>64</v>
      </c>
      <c r="AB18" s="40">
        <f t="shared" si="0"/>
        <v>3238.472509333109</v>
      </c>
      <c r="AC18" s="40">
        <f t="shared" si="1"/>
        <v>3673.313709198367</v>
      </c>
      <c r="AD18" s="40">
        <f t="shared" si="10"/>
        <v>45.300566479164914</v>
      </c>
      <c r="AE18" s="40">
        <f t="shared" si="2"/>
        <v>23.172622957226093</v>
      </c>
      <c r="AF18" s="40">
        <f t="shared" si="11"/>
        <v>57.39552670622449</v>
      </c>
      <c r="AG18" s="40">
        <f t="shared" si="12"/>
        <v>50.60113295832983</v>
      </c>
      <c r="AH18" s="48">
        <f t="shared" si="3"/>
        <v>94.4</v>
      </c>
      <c r="AI18" s="48">
        <f t="shared" si="4"/>
        <v>68.8</v>
      </c>
      <c r="AJ18" s="40">
        <f t="shared" si="13"/>
        <v>2803.1274906668914</v>
      </c>
      <c r="AK18" s="40">
        <f t="shared" si="14"/>
        <v>64</v>
      </c>
      <c r="AL18" s="40">
        <f t="shared" si="15"/>
        <v>-100000</v>
      </c>
      <c r="AM18" s="40">
        <f t="shared" si="5"/>
        <v>50.030002431617774</v>
      </c>
      <c r="AN18" s="40">
        <f t="shared" si="16"/>
        <v>2368.286290801633</v>
      </c>
      <c r="AO18" s="40">
        <f t="shared" si="17"/>
        <v>64</v>
      </c>
      <c r="AP18" s="40">
        <f t="shared" si="18"/>
        <v>-100000</v>
      </c>
      <c r="AQ18" s="40">
        <f t="shared" si="6"/>
        <v>50.5153120501505</v>
      </c>
      <c r="AR18" s="40">
        <f t="shared" si="7"/>
        <v>86.4</v>
      </c>
      <c r="AS18" s="41">
        <f t="shared" si="8"/>
        <v>83.19999999999999</v>
      </c>
      <c r="AT18" s="36"/>
      <c r="AU18" s="28">
        <f>AV$1*A94^2+AV$2*A94^0.5</f>
        <v>4841.1869733608855</v>
      </c>
      <c r="AV18" s="31">
        <f>AV$6*A94^3+AV$7</f>
        <v>4847.393272364489</v>
      </c>
      <c r="AW18" s="24"/>
      <c r="AX18" s="24"/>
      <c r="AY18" s="25"/>
      <c r="AZ18" s="25"/>
      <c r="BA18" s="25"/>
      <c r="BB18" s="25"/>
      <c r="BC18" s="25"/>
      <c r="BD18" s="25"/>
    </row>
    <row r="19" spans="1:56" s="2" customFormat="1" ht="13.5" customHeight="1">
      <c r="A19" s="36" t="s">
        <v>78</v>
      </c>
      <c r="B19" s="36"/>
      <c r="C19" s="36"/>
      <c r="D19" s="43"/>
      <c r="E19" s="50"/>
      <c r="F19" s="36"/>
      <c r="G19" s="36"/>
      <c r="H19" s="38"/>
      <c r="I19" s="38"/>
      <c r="J19" s="36"/>
      <c r="K19" s="36"/>
      <c r="L19" s="36"/>
      <c r="M19" s="36"/>
      <c r="N19" s="36"/>
      <c r="O19" s="36"/>
      <c r="P19" s="36"/>
      <c r="Q19" s="36"/>
      <c r="R19" s="36"/>
      <c r="S19" s="36"/>
      <c r="T19" s="36"/>
      <c r="U19" s="36"/>
      <c r="V19" s="36"/>
      <c r="W19" s="36"/>
      <c r="X19" s="36"/>
      <c r="Y19" s="36"/>
      <c r="Z19" s="36"/>
      <c r="AA19" s="39">
        <f t="shared" si="9"/>
        <v>68</v>
      </c>
      <c r="AB19" s="40">
        <f t="shared" si="0"/>
        <v>3421.87852194477</v>
      </c>
      <c r="AC19" s="40">
        <f t="shared" si="1"/>
        <v>3771.918047511147</v>
      </c>
      <c r="AD19" s="40">
        <f t="shared" si="10"/>
        <v>46.41087148488802</v>
      </c>
      <c r="AE19" s="40">
        <f t="shared" si="2"/>
        <v>26.15971888530602</v>
      </c>
      <c r="AF19" s="40">
        <f t="shared" si="11"/>
        <v>55.469383051634516</v>
      </c>
      <c r="AG19" s="40">
        <f t="shared" si="12"/>
        <v>50.321742969776025</v>
      </c>
      <c r="AH19" s="48">
        <f t="shared" si="3"/>
        <v>92.8</v>
      </c>
      <c r="AI19" s="48">
        <f t="shared" si="4"/>
        <v>65.6</v>
      </c>
      <c r="AJ19" s="40">
        <f t="shared" si="13"/>
        <v>2888.52147805523</v>
      </c>
      <c r="AK19" s="40">
        <f t="shared" si="14"/>
        <v>68</v>
      </c>
      <c r="AL19" s="40">
        <f t="shared" si="15"/>
        <v>-100000</v>
      </c>
      <c r="AM19" s="40">
        <f t="shared" si="5"/>
        <v>50.030002431617774</v>
      </c>
      <c r="AN19" s="40">
        <f t="shared" si="16"/>
        <v>2538.4819524888526</v>
      </c>
      <c r="AO19" s="40">
        <f t="shared" si="17"/>
        <v>68</v>
      </c>
      <c r="AP19" s="40">
        <f t="shared" si="18"/>
        <v>-100000</v>
      </c>
      <c r="AQ19" s="40">
        <f t="shared" si="6"/>
        <v>50.5153120501505</v>
      </c>
      <c r="AR19" s="40">
        <f t="shared" si="7"/>
        <v>86.4</v>
      </c>
      <c r="AS19" s="41">
        <f t="shared" si="8"/>
        <v>83.19999999999999</v>
      </c>
      <c r="AT19" s="36"/>
      <c r="AU19" s="28"/>
      <c r="AV19" s="31"/>
      <c r="AW19" s="24"/>
      <c r="AX19" s="24"/>
      <c r="AY19" s="25"/>
      <c r="AZ19" s="25"/>
      <c r="BA19" s="25"/>
      <c r="BB19" s="25"/>
      <c r="BC19" s="25"/>
      <c r="BD19" s="25"/>
    </row>
    <row r="20" spans="1:56" s="2" customFormat="1" ht="13.5" customHeight="1">
      <c r="A20" s="36"/>
      <c r="B20" s="36"/>
      <c r="C20" s="36"/>
      <c r="D20" s="36"/>
      <c r="E20" s="36"/>
      <c r="F20" s="36"/>
      <c r="G20" s="36"/>
      <c r="H20" s="38"/>
      <c r="I20" s="38"/>
      <c r="J20" s="36"/>
      <c r="K20" s="36"/>
      <c r="L20" s="36"/>
      <c r="M20" s="36"/>
      <c r="N20" s="36"/>
      <c r="O20" s="36"/>
      <c r="P20" s="36"/>
      <c r="Q20" s="36"/>
      <c r="R20" s="36"/>
      <c r="S20" s="36"/>
      <c r="T20" s="36"/>
      <c r="U20" s="36"/>
      <c r="V20" s="36"/>
      <c r="W20" s="36"/>
      <c r="X20" s="36"/>
      <c r="Y20" s="36"/>
      <c r="Z20" s="36"/>
      <c r="AA20" s="39">
        <f t="shared" si="9"/>
        <v>72</v>
      </c>
      <c r="AB20" s="40">
        <f t="shared" si="0"/>
        <v>3609.8221281347032</v>
      </c>
      <c r="AC20" s="40">
        <f t="shared" si="1"/>
        <v>3882.832841769953</v>
      </c>
      <c r="AD20" s="40">
        <f t="shared" si="10"/>
        <v>47.568209223157666</v>
      </c>
      <c r="AE20" s="40">
        <f t="shared" si="2"/>
        <v>29.327850930239272</v>
      </c>
      <c r="AF20" s="40">
        <f t="shared" si="11"/>
        <v>53.92823391347157</v>
      </c>
      <c r="AG20" s="40">
        <f t="shared" si="12"/>
        <v>50.136418446315325</v>
      </c>
      <c r="AH20" s="48">
        <f t="shared" si="3"/>
        <v>91.2</v>
      </c>
      <c r="AI20" s="48">
        <f t="shared" si="4"/>
        <v>62.4</v>
      </c>
      <c r="AJ20" s="40">
        <f t="shared" si="13"/>
        <v>2956.577871865297</v>
      </c>
      <c r="AK20" s="40">
        <f t="shared" si="14"/>
        <v>72</v>
      </c>
      <c r="AL20" s="40">
        <f t="shared" si="15"/>
        <v>-100000</v>
      </c>
      <c r="AM20" s="40">
        <f t="shared" si="5"/>
        <v>50.030002431617774</v>
      </c>
      <c r="AN20" s="40">
        <f t="shared" si="16"/>
        <v>2683.567158230047</v>
      </c>
      <c r="AO20" s="40">
        <f t="shared" si="17"/>
        <v>72</v>
      </c>
      <c r="AP20" s="40">
        <f t="shared" si="18"/>
        <v>-100000</v>
      </c>
      <c r="AQ20" s="40">
        <f t="shared" si="6"/>
        <v>50.5153120501505</v>
      </c>
      <c r="AR20" s="40">
        <f t="shared" si="7"/>
        <v>86.4</v>
      </c>
      <c r="AS20" s="41">
        <f t="shared" si="8"/>
        <v>83.19999999999999</v>
      </c>
      <c r="AT20" s="36"/>
      <c r="AU20" s="28">
        <f>AV$1*A96^2+AV$2*A96^0.5</f>
        <v>6265.986323710904</v>
      </c>
      <c r="AV20" s="31">
        <f>AV$6*A96^3+AV$7</f>
        <v>6437.61452280413</v>
      </c>
      <c r="AW20" s="24"/>
      <c r="AX20" s="24"/>
      <c r="AY20" s="25"/>
      <c r="AZ20" s="25"/>
      <c r="BA20" s="25"/>
      <c r="BB20" s="25"/>
      <c r="BC20" s="25"/>
      <c r="BD20" s="25"/>
    </row>
    <row r="21" spans="1:56" s="2" customFormat="1" ht="13.5" customHeight="1">
      <c r="A21" s="36"/>
      <c r="B21" s="36"/>
      <c r="C21" s="36"/>
      <c r="D21" s="36"/>
      <c r="E21" s="36"/>
      <c r="F21" s="36"/>
      <c r="G21" s="36"/>
      <c r="H21" s="38"/>
      <c r="I21" s="38"/>
      <c r="J21" s="36"/>
      <c r="K21" s="36"/>
      <c r="L21" s="36"/>
      <c r="M21" s="36"/>
      <c r="N21" s="36"/>
      <c r="O21" s="36"/>
      <c r="P21" s="36"/>
      <c r="Q21" s="36"/>
      <c r="R21" s="36"/>
      <c r="S21" s="36"/>
      <c r="T21" s="36"/>
      <c r="U21" s="36"/>
      <c r="V21" s="36"/>
      <c r="W21" s="36"/>
      <c r="X21" s="36"/>
      <c r="Y21" s="36"/>
      <c r="Z21" s="36"/>
      <c r="AA21" s="39">
        <f t="shared" si="9"/>
        <v>76</v>
      </c>
      <c r="AB21" s="40">
        <f t="shared" si="0"/>
        <v>3802.478491949057</v>
      </c>
      <c r="AC21" s="40">
        <f t="shared" si="1"/>
        <v>4006.782236442199</v>
      </c>
      <c r="AD21" s="40">
        <f t="shared" si="10"/>
        <v>48.7663058680859</v>
      </c>
      <c r="AE21" s="40">
        <f t="shared" si="2"/>
        <v>32.67701909202586</v>
      </c>
      <c r="AF21" s="40">
        <f t="shared" si="11"/>
        <v>52.72081890055525</v>
      </c>
      <c r="AG21" s="40">
        <f t="shared" si="12"/>
        <v>50.0326117361718</v>
      </c>
      <c r="AH21" s="48">
        <f t="shared" si="3"/>
        <v>89.6</v>
      </c>
      <c r="AI21" s="48">
        <f t="shared" si="4"/>
        <v>59.199999999999996</v>
      </c>
      <c r="AJ21" s="40">
        <f t="shared" si="13"/>
        <v>3007.121508050943</v>
      </c>
      <c r="AK21" s="40">
        <f t="shared" si="14"/>
        <v>76</v>
      </c>
      <c r="AL21" s="40">
        <f t="shared" si="15"/>
        <v>-100000</v>
      </c>
      <c r="AM21" s="40">
        <f t="shared" si="5"/>
        <v>50.030002431617774</v>
      </c>
      <c r="AN21" s="40">
        <f t="shared" si="16"/>
        <v>2802.8177635578004</v>
      </c>
      <c r="AO21" s="40">
        <f t="shared" si="17"/>
        <v>76</v>
      </c>
      <c r="AP21" s="40">
        <f t="shared" si="18"/>
        <v>-100000</v>
      </c>
      <c r="AQ21" s="40">
        <f t="shared" si="6"/>
        <v>50.5153120501505</v>
      </c>
      <c r="AR21" s="40">
        <f t="shared" si="7"/>
        <v>86.4</v>
      </c>
      <c r="AS21" s="41">
        <f t="shared" si="8"/>
        <v>83.19999999999999</v>
      </c>
      <c r="AT21" s="36"/>
      <c r="AU21" s="28"/>
      <c r="AV21" s="31"/>
      <c r="AW21" s="24"/>
      <c r="AX21" s="24"/>
      <c r="AY21" s="25"/>
      <c r="AZ21" s="25"/>
      <c r="BA21" s="25"/>
      <c r="BB21" s="25"/>
      <c r="BC21" s="25"/>
      <c r="BD21" s="25"/>
    </row>
    <row r="22" spans="1:56" s="2" customFormat="1" ht="13.5" customHeight="1">
      <c r="A22" s="36"/>
      <c r="B22" s="36"/>
      <c r="C22" s="36"/>
      <c r="D22" s="36"/>
      <c r="E22" s="36"/>
      <c r="F22" s="38"/>
      <c r="G22" s="38"/>
      <c r="H22" s="38"/>
      <c r="I22" s="38"/>
      <c r="J22" s="36"/>
      <c r="K22" s="36"/>
      <c r="L22" s="36"/>
      <c r="M22" s="36"/>
      <c r="N22" s="36"/>
      <c r="O22" s="36"/>
      <c r="P22" s="36"/>
      <c r="Q22" s="36"/>
      <c r="R22" s="36"/>
      <c r="S22" s="36"/>
      <c r="T22" s="36"/>
      <c r="U22" s="36"/>
      <c r="V22" s="36"/>
      <c r="W22" s="36"/>
      <c r="X22" s="36"/>
      <c r="Y22" s="36"/>
      <c r="Z22" s="36"/>
      <c r="AA22" s="39">
        <f t="shared" si="9"/>
        <v>80</v>
      </c>
      <c r="AB22" s="40">
        <f t="shared" si="0"/>
        <v>4000</v>
      </c>
      <c r="AC22" s="40">
        <f t="shared" si="1"/>
        <v>4144.490375995298</v>
      </c>
      <c r="AD22" s="40">
        <f t="shared" si="10"/>
        <v>50</v>
      </c>
      <c r="AE22" s="40">
        <f t="shared" si="2"/>
        <v>36.20722337066577</v>
      </c>
      <c r="AF22" s="40">
        <f t="shared" si="11"/>
        <v>51.80612969994122</v>
      </c>
      <c r="AG22" s="40">
        <f t="shared" si="12"/>
        <v>50</v>
      </c>
      <c r="AH22" s="48">
        <f t="shared" si="3"/>
        <v>88</v>
      </c>
      <c r="AI22" s="48">
        <f t="shared" si="4"/>
        <v>56</v>
      </c>
      <c r="AJ22" s="40">
        <f t="shared" si="13"/>
        <v>3040</v>
      </c>
      <c r="AK22" s="40">
        <f t="shared" si="14"/>
        <v>80</v>
      </c>
      <c r="AL22" s="40">
        <f t="shared" si="15"/>
        <v>-100000</v>
      </c>
      <c r="AM22" s="40">
        <f t="shared" si="5"/>
        <v>50.030002431617774</v>
      </c>
      <c r="AN22" s="40">
        <f t="shared" si="16"/>
        <v>2895.5096240047023</v>
      </c>
      <c r="AO22" s="40">
        <f t="shared" si="17"/>
        <v>80</v>
      </c>
      <c r="AP22" s="40">
        <f t="shared" si="18"/>
        <v>-100000</v>
      </c>
      <c r="AQ22" s="40">
        <f t="shared" si="6"/>
        <v>50.5153120501505</v>
      </c>
      <c r="AR22" s="40">
        <f t="shared" si="7"/>
        <v>86.4</v>
      </c>
      <c r="AS22" s="41">
        <f t="shared" si="8"/>
        <v>83.19999999999999</v>
      </c>
      <c r="AT22" s="36"/>
      <c r="AU22" s="28">
        <f>AV$1*A98^2+AV$2*A98^0.5</f>
        <v>7897.7087639996635</v>
      </c>
      <c r="AV22" s="31">
        <f>AV$6*A98^3+AV$7</f>
        <v>8809.91179805015</v>
      </c>
      <c r="AW22" s="24"/>
      <c r="AX22" s="24"/>
      <c r="AY22" s="25"/>
      <c r="AZ22" s="25"/>
      <c r="BA22" s="25"/>
      <c r="BB22" s="25"/>
      <c r="BC22" s="25"/>
      <c r="BD22" s="25"/>
    </row>
    <row r="23" spans="1:56" s="2" customFormat="1" ht="13.5"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9">
        <f t="shared" si="9"/>
        <v>84</v>
      </c>
      <c r="AB23" s="40">
        <f t="shared" si="0"/>
        <v>4202.520204255892</v>
      </c>
      <c r="AC23" s="40">
        <f t="shared" si="1"/>
        <v>4296.681404896663</v>
      </c>
      <c r="AD23" s="40">
        <f t="shared" si="10"/>
        <v>51.26500121580889</v>
      </c>
      <c r="AE23" s="40">
        <f t="shared" si="2"/>
        <v>39.918463766159014</v>
      </c>
      <c r="AF23" s="40">
        <f t="shared" si="11"/>
        <v>51.15096910591266</v>
      </c>
      <c r="AG23" s="40">
        <f t="shared" si="12"/>
        <v>50.030002431617774</v>
      </c>
      <c r="AH23" s="48">
        <f t="shared" si="3"/>
        <v>86.4</v>
      </c>
      <c r="AI23" s="48">
        <f t="shared" si="4"/>
        <v>52.8</v>
      </c>
      <c r="AJ23" s="40">
        <f t="shared" si="13"/>
        <v>3055.0797957441073</v>
      </c>
      <c r="AK23" s="40">
        <f t="shared" si="14"/>
        <v>-10000</v>
      </c>
      <c r="AL23" s="40">
        <f t="shared" si="15"/>
        <v>84</v>
      </c>
      <c r="AM23" s="40">
        <f t="shared" si="5"/>
        <v>50.030002431617774</v>
      </c>
      <c r="AN23" s="40">
        <f t="shared" si="16"/>
        <v>2960.9185951033373</v>
      </c>
      <c r="AO23" s="40">
        <f t="shared" si="17"/>
        <v>84</v>
      </c>
      <c r="AP23" s="40">
        <f t="shared" si="18"/>
        <v>-100000</v>
      </c>
      <c r="AQ23" s="40">
        <f t="shared" si="6"/>
        <v>50.5153120501505</v>
      </c>
      <c r="AR23" s="40">
        <f t="shared" si="7"/>
        <v>86.4</v>
      </c>
      <c r="AS23" s="41">
        <f t="shared" si="8"/>
        <v>83.19999999999999</v>
      </c>
      <c r="AT23" s="36"/>
      <c r="AU23" s="28"/>
      <c r="AV23" s="31"/>
      <c r="AW23" s="24"/>
      <c r="AX23" s="24"/>
      <c r="AY23" s="25"/>
      <c r="AZ23" s="25"/>
      <c r="BA23" s="25"/>
      <c r="BB23" s="25"/>
      <c r="BC23" s="25"/>
      <c r="BD23" s="25"/>
    </row>
    <row r="24" spans="1:56" s="2" customFormat="1" ht="13.5"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9">
        <f t="shared" si="9"/>
        <v>88</v>
      </c>
      <c r="AB24" s="40">
        <f t="shared" si="0"/>
        <v>4410.156928453738</v>
      </c>
      <c r="AC24" s="40">
        <f t="shared" si="1"/>
        <v>4464.0794676137075</v>
      </c>
      <c r="AD24" s="40">
        <f t="shared" si="10"/>
        <v>52.557709820759875</v>
      </c>
      <c r="AE24" s="40">
        <f t="shared" si="2"/>
        <v>43.810740278505584</v>
      </c>
      <c r="AF24" s="40">
        <f t="shared" si="11"/>
        <v>50.72817576833759</v>
      </c>
      <c r="AG24" s="40">
        <f t="shared" si="12"/>
        <v>50.115419641519736</v>
      </c>
      <c r="AH24" s="48">
        <f t="shared" si="3"/>
        <v>84.8</v>
      </c>
      <c r="AI24" s="48">
        <f t="shared" si="4"/>
        <v>49.599999999999994</v>
      </c>
      <c r="AJ24" s="40">
        <f t="shared" si="13"/>
        <v>3052.243071546263</v>
      </c>
      <c r="AK24" s="40">
        <f t="shared" si="14"/>
        <v>88</v>
      </c>
      <c r="AL24" s="40">
        <f t="shared" si="15"/>
        <v>-100000</v>
      </c>
      <c r="AM24" s="40">
        <f t="shared" si="5"/>
        <v>-100000</v>
      </c>
      <c r="AN24" s="40">
        <f t="shared" si="16"/>
        <v>2998.3205323862917</v>
      </c>
      <c r="AO24" s="40">
        <f t="shared" si="17"/>
        <v>88</v>
      </c>
      <c r="AP24" s="40">
        <f t="shared" si="18"/>
        <v>-100000</v>
      </c>
      <c r="AQ24" s="40">
        <f t="shared" si="6"/>
        <v>50.5153120501505</v>
      </c>
      <c r="AR24" s="40">
        <f t="shared" si="7"/>
        <v>-100000</v>
      </c>
      <c r="AS24" s="41">
        <f t="shared" si="8"/>
        <v>83.19999999999999</v>
      </c>
      <c r="AT24" s="36"/>
      <c r="AU24" s="28">
        <f>AV$1*A100^2+AV$2*A100^0.5</f>
        <v>9744.367132317184</v>
      </c>
      <c r="AV24" s="31">
        <f>AV$6*A100^3+AV$7</f>
        <v>12120.70030306383</v>
      </c>
      <c r="AW24" s="24"/>
      <c r="AX24" s="24"/>
      <c r="AY24" s="25"/>
      <c r="AZ24" s="25"/>
      <c r="BA24" s="25"/>
      <c r="BB24" s="25"/>
      <c r="BC24" s="25"/>
      <c r="BD24" s="25"/>
    </row>
    <row r="25" spans="1:56" s="2" customFormat="1" ht="13.5" customHeight="1">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9">
        <f t="shared" si="9"/>
        <v>92</v>
      </c>
      <c r="AB25" s="40">
        <f t="shared" si="0"/>
        <v>4623.014745270295</v>
      </c>
      <c r="AC25" s="40">
        <f t="shared" si="1"/>
        <v>4647.408708613845</v>
      </c>
      <c r="AD25" s="40">
        <f t="shared" si="10"/>
        <v>53.875080137338564</v>
      </c>
      <c r="AE25" s="40">
        <f t="shared" si="2"/>
        <v>47.88405290770548</v>
      </c>
      <c r="AF25" s="40">
        <f t="shared" si="11"/>
        <v>50.5153120501505</v>
      </c>
      <c r="AG25" s="40">
        <f t="shared" si="12"/>
        <v>50.25016027467713</v>
      </c>
      <c r="AH25" s="48">
        <f t="shared" si="3"/>
        <v>83.19999999999999</v>
      </c>
      <c r="AI25" s="48">
        <f t="shared" si="4"/>
        <v>46.39999999999999</v>
      </c>
      <c r="AJ25" s="40">
        <f t="shared" si="13"/>
        <v>3031.3852547297033</v>
      </c>
      <c r="AK25" s="40">
        <f t="shared" si="14"/>
        <v>92</v>
      </c>
      <c r="AL25" s="40">
        <f t="shared" si="15"/>
        <v>-100000</v>
      </c>
      <c r="AM25" s="40">
        <f t="shared" si="5"/>
        <v>-100000</v>
      </c>
      <c r="AN25" s="40">
        <f t="shared" si="16"/>
        <v>3006.991291386153</v>
      </c>
      <c r="AO25" s="40">
        <f t="shared" si="17"/>
        <v>-10000</v>
      </c>
      <c r="AP25" s="40">
        <f t="shared" si="18"/>
        <v>92</v>
      </c>
      <c r="AQ25" s="40">
        <f t="shared" si="6"/>
        <v>50.5153120501505</v>
      </c>
      <c r="AR25" s="40">
        <f t="shared" si="7"/>
        <v>-100000</v>
      </c>
      <c r="AS25" s="41">
        <f t="shared" si="8"/>
        <v>83.19999999999999</v>
      </c>
      <c r="AT25" s="36"/>
      <c r="AU25" s="25"/>
      <c r="AV25" s="25"/>
      <c r="AW25" s="25"/>
      <c r="AX25" s="25"/>
      <c r="AY25" s="25"/>
      <c r="AZ25" s="25"/>
      <c r="BA25" s="25"/>
      <c r="BB25" s="25"/>
      <c r="BC25" s="25"/>
      <c r="BD25" s="25"/>
    </row>
    <row r="26" spans="1:56" s="2" customFormat="1" ht="13.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9">
        <f t="shared" si="9"/>
        <v>96</v>
      </c>
      <c r="AB26" s="40">
        <f t="shared" si="0"/>
        <v>4841.1869733608855</v>
      </c>
      <c r="AC26" s="40">
        <f t="shared" si="1"/>
        <v>4847.393272364489</v>
      </c>
      <c r="AD26" s="40">
        <f t="shared" si="10"/>
        <v>55.21451548625461</v>
      </c>
      <c r="AE26" s="40">
        <f t="shared" si="2"/>
        <v>52.138401653758706</v>
      </c>
      <c r="AF26" s="40">
        <f t="shared" si="11"/>
        <v>50.49367992046343</v>
      </c>
      <c r="AG26" s="40">
        <f t="shared" si="12"/>
        <v>50.42903097250923</v>
      </c>
      <c r="AH26" s="48">
        <f t="shared" si="3"/>
        <v>81.6</v>
      </c>
      <c r="AI26" s="48">
        <f t="shared" si="4"/>
        <v>43.19999999999999</v>
      </c>
      <c r="AJ26" s="40">
        <f t="shared" si="13"/>
        <v>2992.413026639113</v>
      </c>
      <c r="AK26" s="40">
        <f t="shared" si="14"/>
        <v>96</v>
      </c>
      <c r="AL26" s="40">
        <f t="shared" si="15"/>
        <v>-100000</v>
      </c>
      <c r="AM26" s="40">
        <f t="shared" si="5"/>
        <v>-100000</v>
      </c>
      <c r="AN26" s="40">
        <f t="shared" si="16"/>
        <v>2986.20672763551</v>
      </c>
      <c r="AO26" s="40">
        <f t="shared" si="17"/>
        <v>96</v>
      </c>
      <c r="AP26" s="40">
        <f t="shared" si="18"/>
        <v>-100000</v>
      </c>
      <c r="AQ26" s="40">
        <f t="shared" si="6"/>
        <v>-100000</v>
      </c>
      <c r="AR26" s="40">
        <f t="shared" si="7"/>
        <v>-100000</v>
      </c>
      <c r="AS26" s="41">
        <f t="shared" si="8"/>
        <v>-100000</v>
      </c>
      <c r="AT26" s="36"/>
      <c r="AU26" s="25"/>
      <c r="AV26" s="25"/>
      <c r="AW26" s="25"/>
      <c r="AX26" s="25"/>
      <c r="AY26" s="25"/>
      <c r="AZ26" s="25"/>
      <c r="BA26" s="25"/>
      <c r="BB26" s="25"/>
      <c r="BC26" s="25"/>
      <c r="BD26" s="25"/>
    </row>
    <row r="27" spans="1:56" s="2" customFormat="1" ht="13.5"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9">
        <f t="shared" si="9"/>
        <v>100</v>
      </c>
      <c r="AB27" s="40">
        <f t="shared" si="0"/>
        <v>5064.757303333053</v>
      </c>
      <c r="AC27" s="40">
        <f t="shared" si="1"/>
        <v>5064.757303333053</v>
      </c>
      <c r="AD27" s="40">
        <f t="shared" si="10"/>
        <v>56.573786516665265</v>
      </c>
      <c r="AE27" s="40">
        <f t="shared" si="2"/>
        <v>56.573786516665265</v>
      </c>
      <c r="AF27" s="40">
        <f t="shared" si="11"/>
        <v>50.64757303333053</v>
      </c>
      <c r="AG27" s="40">
        <f t="shared" si="12"/>
        <v>50.64757303333053</v>
      </c>
      <c r="AH27" s="48">
        <f t="shared" si="3"/>
        <v>80</v>
      </c>
      <c r="AI27" s="48">
        <f t="shared" si="4"/>
        <v>40</v>
      </c>
      <c r="AJ27" s="40">
        <f t="shared" si="13"/>
        <v>2935.242696666947</v>
      </c>
      <c r="AK27" s="40">
        <f t="shared" si="14"/>
        <v>100</v>
      </c>
      <c r="AL27" s="40">
        <f t="shared" si="15"/>
        <v>-100000</v>
      </c>
      <c r="AM27" s="40">
        <f t="shared" si="5"/>
        <v>-100000</v>
      </c>
      <c r="AN27" s="40">
        <f t="shared" si="16"/>
        <v>2935.242696666947</v>
      </c>
      <c r="AO27" s="40">
        <f t="shared" si="17"/>
        <v>100</v>
      </c>
      <c r="AP27" s="40">
        <f t="shared" si="18"/>
        <v>-100000</v>
      </c>
      <c r="AQ27" s="40">
        <f t="shared" si="6"/>
        <v>-100000</v>
      </c>
      <c r="AR27" s="40">
        <f t="shared" si="7"/>
        <v>-100000</v>
      </c>
      <c r="AS27" s="41">
        <f t="shared" si="8"/>
        <v>-100000</v>
      </c>
      <c r="AT27" s="36"/>
      <c r="AU27" s="25"/>
      <c r="AV27" s="25"/>
      <c r="AW27" s="25"/>
      <c r="AX27" s="25"/>
      <c r="AY27" s="25"/>
      <c r="AZ27" s="25"/>
      <c r="BA27" s="25"/>
      <c r="BB27" s="25"/>
      <c r="BC27" s="25"/>
      <c r="BD27" s="25"/>
    </row>
    <row r="28" spans="1:56" s="2" customFormat="1" ht="13.5"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9">
        <f t="shared" si="9"/>
        <v>104</v>
      </c>
      <c r="AB28" s="40">
        <f t="shared" si="0"/>
        <v>5293.801133597701</v>
      </c>
      <c r="AC28" s="40">
        <f t="shared" si="1"/>
        <v>5300.224945986949</v>
      </c>
      <c r="AD28" s="40">
        <f t="shared" si="10"/>
        <v>57.95096698845049</v>
      </c>
      <c r="AE28" s="40">
        <f t="shared" si="2"/>
        <v>61.19020749642515</v>
      </c>
      <c r="AF28" s="40">
        <f t="shared" si="11"/>
        <v>50.96370140372067</v>
      </c>
      <c r="AG28" s="40">
        <f t="shared" si="12"/>
        <v>50.90193397690098</v>
      </c>
      <c r="AH28" s="48">
        <f t="shared" si="3"/>
        <v>78.4</v>
      </c>
      <c r="AI28" s="48">
        <f t="shared" si="4"/>
        <v>36.8</v>
      </c>
      <c r="AJ28" s="40">
        <f t="shared" si="13"/>
        <v>2859.7988664022987</v>
      </c>
      <c r="AK28" s="40">
        <f t="shared" si="14"/>
        <v>104</v>
      </c>
      <c r="AL28" s="40">
        <f t="shared" si="15"/>
        <v>-100000</v>
      </c>
      <c r="AM28" s="40">
        <f t="shared" si="5"/>
        <v>-100000</v>
      </c>
      <c r="AN28" s="40">
        <f t="shared" si="16"/>
        <v>2853.375054013051</v>
      </c>
      <c r="AO28" s="40">
        <f t="shared" si="17"/>
        <v>104</v>
      </c>
      <c r="AP28" s="40">
        <f t="shared" si="18"/>
        <v>-100000</v>
      </c>
      <c r="AQ28" s="40">
        <f t="shared" si="6"/>
        <v>-100000</v>
      </c>
      <c r="AR28" s="40">
        <f t="shared" si="7"/>
        <v>-100000</v>
      </c>
      <c r="AS28" s="41">
        <f t="shared" si="8"/>
        <v>-100000</v>
      </c>
      <c r="AT28" s="36"/>
      <c r="AU28" s="25"/>
      <c r="AV28" s="25"/>
      <c r="AW28" s="25"/>
      <c r="AX28" s="25"/>
      <c r="AY28" s="25"/>
      <c r="AZ28" s="25"/>
      <c r="BA28" s="25"/>
      <c r="BB28" s="25"/>
      <c r="BC28" s="25"/>
      <c r="BD28" s="25"/>
    </row>
    <row r="29" spans="1:56" s="2" customFormat="1" ht="13.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9">
        <f t="shared" si="9"/>
        <v>108</v>
      </c>
      <c r="AB29" s="40">
        <f t="shared" si="0"/>
        <v>5528.3866769659335</v>
      </c>
      <c r="AC29" s="40">
        <f t="shared" si="1"/>
        <v>5554.520344793592</v>
      </c>
      <c r="AD29" s="40">
        <f t="shared" si="10"/>
        <v>59.344382763731176</v>
      </c>
      <c r="AE29" s="40">
        <f t="shared" si="2"/>
        <v>65.98766459303836</v>
      </c>
      <c r="AF29" s="40">
        <f t="shared" si="11"/>
        <v>51.430743933274</v>
      </c>
      <c r="AG29" s="40">
        <f t="shared" si="12"/>
        <v>51.18876552746235</v>
      </c>
      <c r="AH29" s="48">
        <f t="shared" si="3"/>
        <v>76.8</v>
      </c>
      <c r="AI29" s="48">
        <f t="shared" si="4"/>
        <v>33.599999999999994</v>
      </c>
      <c r="AJ29" s="40">
        <f t="shared" si="13"/>
        <v>2766.0133230340657</v>
      </c>
      <c r="AK29" s="40">
        <f t="shared" si="14"/>
        <v>108</v>
      </c>
      <c r="AL29" s="40">
        <f t="shared" si="15"/>
        <v>-100000</v>
      </c>
      <c r="AM29" s="40">
        <f t="shared" si="5"/>
        <v>-100000</v>
      </c>
      <c r="AN29" s="40">
        <f t="shared" si="16"/>
        <v>2739.8796552064077</v>
      </c>
      <c r="AO29" s="40">
        <f t="shared" si="17"/>
        <v>108</v>
      </c>
      <c r="AP29" s="40">
        <f t="shared" si="18"/>
        <v>-100000</v>
      </c>
      <c r="AQ29" s="40">
        <f t="shared" si="6"/>
        <v>-100000</v>
      </c>
      <c r="AR29" s="40">
        <f t="shared" si="7"/>
        <v>-100000</v>
      </c>
      <c r="AS29" s="41">
        <f t="shared" si="8"/>
        <v>-100000</v>
      </c>
      <c r="AT29" s="36"/>
      <c r="AU29" s="25"/>
      <c r="AV29" s="25"/>
      <c r="AW29" s="25"/>
      <c r="AX29" s="25"/>
      <c r="AY29" s="25"/>
      <c r="AZ29" s="25"/>
      <c r="BA29" s="25"/>
      <c r="BB29" s="25"/>
      <c r="BC29" s="25"/>
      <c r="BD29" s="25"/>
    </row>
    <row r="30" spans="1:56" s="2" customFormat="1" ht="13.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9">
        <f t="shared" si="9"/>
        <v>112</v>
      </c>
      <c r="AB30" s="40">
        <f t="shared" si="0"/>
        <v>5768.5758843197955</v>
      </c>
      <c r="AC30" s="40">
        <f t="shared" si="1"/>
        <v>5828.367644220394</v>
      </c>
      <c r="AD30" s="40">
        <f t="shared" si="10"/>
        <v>60.75257091214195</v>
      </c>
      <c r="AE30" s="40">
        <f t="shared" si="2"/>
        <v>70.96615780650491</v>
      </c>
      <c r="AF30" s="40">
        <f t="shared" si="11"/>
        <v>52.038996823396374</v>
      </c>
      <c r="AG30" s="40">
        <f t="shared" si="12"/>
        <v>51.50514182428388</v>
      </c>
      <c r="AH30" s="48">
        <f t="shared" si="3"/>
        <v>75.19999999999999</v>
      </c>
      <c r="AI30" s="48">
        <f t="shared" si="4"/>
        <v>30.39999999999999</v>
      </c>
      <c r="AJ30" s="40">
        <f t="shared" si="13"/>
        <v>2653.824115680204</v>
      </c>
      <c r="AK30" s="40">
        <f t="shared" si="14"/>
        <v>112</v>
      </c>
      <c r="AL30" s="40">
        <f t="shared" si="15"/>
        <v>-100000</v>
      </c>
      <c r="AM30" s="40">
        <f t="shared" si="5"/>
        <v>-100000</v>
      </c>
      <c r="AN30" s="40">
        <f t="shared" si="16"/>
        <v>2594.0323557796046</v>
      </c>
      <c r="AO30" s="40">
        <f t="shared" si="17"/>
        <v>112</v>
      </c>
      <c r="AP30" s="40">
        <f t="shared" si="18"/>
        <v>-100000</v>
      </c>
      <c r="AQ30" s="40">
        <f t="shared" si="6"/>
        <v>-100000</v>
      </c>
      <c r="AR30" s="40">
        <f t="shared" si="7"/>
        <v>-100000</v>
      </c>
      <c r="AS30" s="41">
        <f t="shared" si="8"/>
        <v>-100000</v>
      </c>
      <c r="AT30" s="36"/>
      <c r="AU30" s="25"/>
      <c r="AV30" s="25"/>
      <c r="AW30" s="25"/>
      <c r="AX30" s="25"/>
      <c r="AY30" s="25"/>
      <c r="AZ30" s="25"/>
      <c r="BA30" s="25"/>
      <c r="BB30" s="25"/>
      <c r="BC30" s="25"/>
      <c r="BD30" s="25"/>
    </row>
    <row r="31" spans="1:56" s="2" customFormat="1" ht="13.5" customHeight="1">
      <c r="A31" s="36"/>
      <c r="B31" s="36"/>
      <c r="C31" s="36"/>
      <c r="D31" s="36"/>
      <c r="E31" s="36"/>
      <c r="F31" s="36"/>
      <c r="G31" s="36"/>
      <c r="H31" s="36"/>
      <c r="I31" s="35"/>
      <c r="J31" s="36"/>
      <c r="K31" s="36"/>
      <c r="L31" s="36"/>
      <c r="M31" s="36"/>
      <c r="N31" s="36"/>
      <c r="O31" s="36"/>
      <c r="P31" s="36"/>
      <c r="Q31" s="36"/>
      <c r="R31" s="36"/>
      <c r="S31" s="36"/>
      <c r="T31" s="36"/>
      <c r="U31" s="36"/>
      <c r="V31" s="36"/>
      <c r="W31" s="36"/>
      <c r="X31" s="36"/>
      <c r="Y31" s="36"/>
      <c r="Z31" s="36"/>
      <c r="AA31" s="39">
        <f t="shared" si="9"/>
        <v>116</v>
      </c>
      <c r="AB31" s="40">
        <f t="shared" si="0"/>
        <v>6014.425221011279</v>
      </c>
      <c r="AC31" s="40">
        <f t="shared" si="1"/>
        <v>6122.490988734769</v>
      </c>
      <c r="AD31" s="40">
        <f t="shared" si="10"/>
        <v>62.174246642289994</v>
      </c>
      <c r="AE31" s="40">
        <f t="shared" si="2"/>
        <v>76.12568713682478</v>
      </c>
      <c r="AF31" s="40">
        <f t="shared" si="11"/>
        <v>52.78009473047214</v>
      </c>
      <c r="AG31" s="40">
        <f t="shared" si="12"/>
        <v>51.84849328457999</v>
      </c>
      <c r="AH31" s="48">
        <f t="shared" si="3"/>
        <v>73.6</v>
      </c>
      <c r="AI31" s="48">
        <f t="shared" si="4"/>
        <v>27.19999999999999</v>
      </c>
      <c r="AJ31" s="40">
        <f t="shared" si="13"/>
        <v>2523.174778988721</v>
      </c>
      <c r="AK31" s="40">
        <f t="shared" si="14"/>
        <v>116</v>
      </c>
      <c r="AL31" s="40">
        <f t="shared" si="15"/>
        <v>-100000</v>
      </c>
      <c r="AM31" s="40">
        <f t="shared" si="5"/>
        <v>-100000</v>
      </c>
      <c r="AN31" s="40">
        <f t="shared" si="16"/>
        <v>2415.109011265231</v>
      </c>
      <c r="AO31" s="40">
        <f t="shared" si="17"/>
        <v>116</v>
      </c>
      <c r="AP31" s="40">
        <f t="shared" si="18"/>
        <v>-100000</v>
      </c>
      <c r="AQ31" s="40">
        <f t="shared" si="6"/>
        <v>-100000</v>
      </c>
      <c r="AR31" s="40">
        <f t="shared" si="7"/>
        <v>-100000</v>
      </c>
      <c r="AS31" s="41">
        <f t="shared" si="8"/>
        <v>-100000</v>
      </c>
      <c r="AT31" s="36"/>
      <c r="AU31" s="25"/>
      <c r="AV31" s="25"/>
      <c r="AW31" s="25"/>
      <c r="AX31" s="25"/>
      <c r="AY31" s="25"/>
      <c r="AZ31" s="25"/>
      <c r="BA31" s="25"/>
      <c r="BB31" s="25"/>
      <c r="BC31" s="25"/>
      <c r="BD31" s="25"/>
    </row>
    <row r="32" spans="1:56" s="2" customFormat="1" ht="13.5" customHeight="1">
      <c r="A32" s="36"/>
      <c r="B32" s="36"/>
      <c r="C32" s="36"/>
      <c r="D32" s="36"/>
      <c r="E32" s="36"/>
      <c r="F32" s="36"/>
      <c r="G32" s="36"/>
      <c r="H32" s="36"/>
      <c r="I32" s="35"/>
      <c r="J32" s="36"/>
      <c r="K32" s="36"/>
      <c r="L32" s="36"/>
      <c r="M32" s="36"/>
      <c r="N32" s="36"/>
      <c r="O32" s="36"/>
      <c r="P32" s="36"/>
      <c r="Q32" s="36"/>
      <c r="R32" s="36"/>
      <c r="S32" s="36"/>
      <c r="T32" s="36"/>
      <c r="U32" s="36"/>
      <c r="V32" s="36"/>
      <c r="W32" s="36"/>
      <c r="X32" s="36"/>
      <c r="Y32" s="36"/>
      <c r="Z32" s="36"/>
      <c r="AA32" s="39">
        <f t="shared" si="9"/>
        <v>120</v>
      </c>
      <c r="AB32" s="40">
        <f t="shared" si="0"/>
        <v>6265.986323710904</v>
      </c>
      <c r="AC32" s="40">
        <f t="shared" si="1"/>
        <v>6437.61452280413</v>
      </c>
      <c r="AD32" s="40">
        <f t="shared" si="10"/>
        <v>63.60827634879543</v>
      </c>
      <c r="AE32" s="40">
        <f t="shared" si="2"/>
        <v>81.46625258399798</v>
      </c>
      <c r="AF32" s="40">
        <f t="shared" si="11"/>
        <v>53.646787690034415</v>
      </c>
      <c r="AG32" s="40">
        <f t="shared" si="12"/>
        <v>52.21655269759086</v>
      </c>
      <c r="AH32" s="48">
        <f t="shared" si="3"/>
        <v>72</v>
      </c>
      <c r="AI32" s="48">
        <f t="shared" si="4"/>
        <v>24</v>
      </c>
      <c r="AJ32" s="40">
        <f t="shared" si="13"/>
        <v>2374.0136762890966</v>
      </c>
      <c r="AK32" s="40">
        <f t="shared" si="14"/>
        <v>120</v>
      </c>
      <c r="AL32" s="40">
        <f t="shared" si="15"/>
        <v>-100000</v>
      </c>
      <c r="AM32" s="40">
        <f t="shared" si="5"/>
        <v>-100000</v>
      </c>
      <c r="AN32" s="40">
        <f t="shared" si="16"/>
        <v>2202.3854771958704</v>
      </c>
      <c r="AO32" s="40">
        <f t="shared" si="17"/>
        <v>120</v>
      </c>
      <c r="AP32" s="40">
        <f t="shared" si="18"/>
        <v>-100000</v>
      </c>
      <c r="AQ32" s="40">
        <f t="shared" si="6"/>
        <v>-100000</v>
      </c>
      <c r="AR32" s="40">
        <f t="shared" si="7"/>
        <v>-100000</v>
      </c>
      <c r="AS32" s="41">
        <f t="shared" si="8"/>
        <v>-100000</v>
      </c>
      <c r="AT32" s="36"/>
      <c r="AU32" s="25"/>
      <c r="AV32" s="25"/>
      <c r="AW32" s="25"/>
      <c r="AX32" s="25"/>
      <c r="AY32" s="25"/>
      <c r="AZ32" s="25"/>
      <c r="BA32" s="25"/>
      <c r="BB32" s="25"/>
      <c r="BC32" s="25"/>
      <c r="BD32" s="25"/>
    </row>
    <row r="33" spans="1:56" s="2" customFormat="1" ht="13.5"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9">
        <f t="shared" si="9"/>
        <v>124</v>
      </c>
      <c r="AB33" s="40">
        <f t="shared" si="0"/>
        <v>6523.306559463661</v>
      </c>
      <c r="AC33" s="40">
        <f t="shared" si="1"/>
        <v>6774.462390895891</v>
      </c>
      <c r="AD33" s="40">
        <f t="shared" si="10"/>
        <v>65.05365548170832</v>
      </c>
      <c r="AE33" s="40">
        <f t="shared" si="2"/>
        <v>86.98785414802451</v>
      </c>
      <c r="AF33" s="40">
        <f t="shared" si="11"/>
        <v>54.63276121690234</v>
      </c>
      <c r="AG33" s="40">
        <f t="shared" si="12"/>
        <v>52.60731096341663</v>
      </c>
      <c r="AH33" s="48">
        <f t="shared" si="3"/>
        <v>70.4</v>
      </c>
      <c r="AI33" s="48">
        <f t="shared" si="4"/>
        <v>20.799999999999997</v>
      </c>
      <c r="AJ33" s="40">
        <f t="shared" si="13"/>
        <v>2206.2934405363385</v>
      </c>
      <c r="AK33" s="40">
        <f t="shared" si="14"/>
        <v>124</v>
      </c>
      <c r="AL33" s="40">
        <f t="shared" si="15"/>
        <v>-100000</v>
      </c>
      <c r="AM33" s="40">
        <f t="shared" si="5"/>
        <v>-100000</v>
      </c>
      <c r="AN33" s="40">
        <f t="shared" si="16"/>
        <v>1955.1376091041107</v>
      </c>
      <c r="AO33" s="40">
        <f t="shared" si="17"/>
        <v>124</v>
      </c>
      <c r="AP33" s="40">
        <f t="shared" si="18"/>
        <v>-100000</v>
      </c>
      <c r="AQ33" s="40">
        <f t="shared" si="6"/>
        <v>-100000</v>
      </c>
      <c r="AR33" s="40">
        <f t="shared" si="7"/>
        <v>-100000</v>
      </c>
      <c r="AS33" s="41">
        <f t="shared" si="8"/>
        <v>-100000</v>
      </c>
      <c r="AT33" s="36"/>
      <c r="AU33" s="25"/>
      <c r="AV33" s="25"/>
      <c r="AW33" s="25"/>
      <c r="AX33" s="25"/>
      <c r="AY33" s="25"/>
      <c r="AZ33" s="25"/>
      <c r="BA33" s="25"/>
      <c r="BB33" s="25"/>
      <c r="BC33" s="25"/>
      <c r="BD33" s="25"/>
    </row>
    <row r="34" spans="1:56" s="2" customFormat="1" ht="13.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9">
        <f t="shared" si="9"/>
        <v>128</v>
      </c>
      <c r="AB34" s="40">
        <f aca="true" t="shared" si="19" ref="AB34:AB55">AV$1*AA34^2+AV$2*AA34^0.5</f>
        <v>6786.429504179605</v>
      </c>
      <c r="AC34" s="40">
        <f aca="true" t="shared" si="20" ref="AC34:AC55">AV$6*AA34^3+AV$7</f>
        <v>7133.758737477464</v>
      </c>
      <c r="AD34" s="40">
        <f t="shared" si="10"/>
        <v>66.50949025070157</v>
      </c>
      <c r="AE34" s="40">
        <f aca="true" t="shared" si="21" ref="AE34:AE55">3*AV$6*AA34^2</f>
        <v>92.69049182890437</v>
      </c>
      <c r="AF34" s="40">
        <f t="shared" si="11"/>
        <v>55.73249013654269</v>
      </c>
      <c r="AG34" s="40">
        <f t="shared" si="12"/>
        <v>53.018980501403156</v>
      </c>
      <c r="AH34" s="48">
        <f aca="true" t="shared" si="22" ref="AH34:AH55">$C$6-0.4*$AA34</f>
        <v>68.8</v>
      </c>
      <c r="AI34" s="48">
        <f aca="true" t="shared" si="23" ref="AI34:AI55">$C$6-0.8*$AA34</f>
        <v>17.599999999999994</v>
      </c>
      <c r="AJ34" s="40">
        <f t="shared" si="13"/>
        <v>2019.9704958203956</v>
      </c>
      <c r="AK34" s="40">
        <f t="shared" si="14"/>
        <v>128</v>
      </c>
      <c r="AL34" s="40">
        <f t="shared" si="15"/>
        <v>-100000</v>
      </c>
      <c r="AM34" s="40">
        <f aca="true" t="shared" si="24" ref="AM34:AM55">IF(AA34&lt;=C$15,C$16,-100000)</f>
        <v>-100000</v>
      </c>
      <c r="AN34" s="40">
        <f t="shared" si="16"/>
        <v>1672.6412625225357</v>
      </c>
      <c r="AO34" s="40">
        <f t="shared" si="17"/>
        <v>128</v>
      </c>
      <c r="AP34" s="40">
        <f t="shared" si="18"/>
        <v>-100000</v>
      </c>
      <c r="AQ34" s="40">
        <f aca="true" t="shared" si="25" ref="AQ34:AQ55">IF(AA34&lt;=C$11,C$12,-100000)</f>
        <v>-100000</v>
      </c>
      <c r="AR34" s="40">
        <f aca="true" t="shared" si="26" ref="AR34:AR55">IF(AM34&gt;0,C$18,-100000)</f>
        <v>-100000</v>
      </c>
      <c r="AS34" s="41">
        <f aca="true" t="shared" si="27" ref="AS34:AS55">IF(AQ34&gt;0,C$14,-100000)</f>
        <v>-100000</v>
      </c>
      <c r="AT34" s="36"/>
      <c r="AU34" s="25"/>
      <c r="AV34" s="25"/>
      <c r="AW34" s="25"/>
      <c r="AX34" s="25"/>
      <c r="AY34" s="25"/>
      <c r="AZ34" s="25"/>
      <c r="BA34" s="25"/>
      <c r="BB34" s="25"/>
      <c r="BC34" s="25"/>
      <c r="BD34" s="25"/>
    </row>
    <row r="35" spans="1:56" s="2" customFormat="1" ht="13.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9">
        <f aca="true" t="shared" si="28" ref="AA35:AA55">AA34+$C$7</f>
        <v>132</v>
      </c>
      <c r="AB35" s="40">
        <f t="shared" si="19"/>
        <v>7055.395354310701</v>
      </c>
      <c r="AC35" s="40">
        <f t="shared" si="20"/>
        <v>7516.227707016264</v>
      </c>
      <c r="AD35" s="40">
        <f aca="true" t="shared" si="29" ref="AD35:AD55">2*AV$1*AA35+0.5*AV$2*AA35^-0.5</f>
        <v>67.97498240269205</v>
      </c>
      <c r="AE35" s="40">
        <f t="shared" si="21"/>
        <v>98.57416562663755</v>
      </c>
      <c r="AF35" s="40">
        <f aca="true" t="shared" si="30" ref="AF35:AF55">AV$6*AA35^2+AV$7/AA35</f>
        <v>56.941118992547445</v>
      </c>
      <c r="AG35" s="40">
        <f aca="true" t="shared" si="31" ref="AG35:AG55">AV$1*AA35+AV$2*AA35^-0.5</f>
        <v>53.4499648053841</v>
      </c>
      <c r="AH35" s="48">
        <f t="shared" si="22"/>
        <v>67.19999999999999</v>
      </c>
      <c r="AI35" s="48">
        <f t="shared" si="23"/>
        <v>14.399999999999991</v>
      </c>
      <c r="AJ35" s="40">
        <f aca="true" t="shared" si="32" ref="AJ35:AJ55">(AH35-AG35)*AA35</f>
        <v>1815.0046456892974</v>
      </c>
      <c r="AK35" s="40">
        <f aca="true" t="shared" si="33" ref="AK35:AK55">IF(AJ35=AJ$56,-10000,AA35)</f>
        <v>132</v>
      </c>
      <c r="AL35" s="40">
        <f aca="true" t="shared" si="34" ref="AL35:AL55">IF(AK35&gt;0,-100000,AA35)</f>
        <v>-100000</v>
      </c>
      <c r="AM35" s="40">
        <f t="shared" si="24"/>
        <v>-100000</v>
      </c>
      <c r="AN35" s="40">
        <f aca="true" t="shared" si="35" ref="AN35:AN55">(AH35-AF35)*AA35</f>
        <v>1354.1722929837358</v>
      </c>
      <c r="AO35" s="40">
        <f aca="true" t="shared" si="36" ref="AO35:AO55">IF(AN35=AN$56,-10000,AA35)</f>
        <v>132</v>
      </c>
      <c r="AP35" s="40">
        <f aca="true" t="shared" si="37" ref="AP35:AP55">IF(AO35&gt;0,-100000,AA35)</f>
        <v>-100000</v>
      </c>
      <c r="AQ35" s="40">
        <f t="shared" si="25"/>
        <v>-100000</v>
      </c>
      <c r="AR35" s="40">
        <f t="shared" si="26"/>
        <v>-100000</v>
      </c>
      <c r="AS35" s="41">
        <f t="shared" si="27"/>
        <v>-100000</v>
      </c>
      <c r="AT35" s="36"/>
      <c r="AU35" s="25"/>
      <c r="AV35" s="25"/>
      <c r="AW35" s="25"/>
      <c r="AX35" s="25"/>
      <c r="AY35" s="25"/>
      <c r="AZ35" s="25"/>
      <c r="BA35" s="25"/>
      <c r="BB35" s="25"/>
      <c r="BC35" s="25"/>
      <c r="BD35" s="25"/>
    </row>
    <row r="36" spans="1:56" s="2" customFormat="1" ht="13.5"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9">
        <f t="shared" si="28"/>
        <v>136</v>
      </c>
      <c r="AB36" s="40">
        <f t="shared" si="19"/>
        <v>7330.241282774747</v>
      </c>
      <c r="AC36" s="40">
        <f t="shared" si="20"/>
        <v>7922.593443979702</v>
      </c>
      <c r="AD36" s="40">
        <f t="shared" si="29"/>
        <v>69.44941648078951</v>
      </c>
      <c r="AE36" s="40">
        <f t="shared" si="21"/>
        <v>104.63887554122408</v>
      </c>
      <c r="AF36" s="40">
        <f t="shared" si="30"/>
        <v>58.254363558674285</v>
      </c>
      <c r="AG36" s="40">
        <f t="shared" si="31"/>
        <v>53.89883296157901</v>
      </c>
      <c r="AH36" s="48">
        <f t="shared" si="22"/>
        <v>65.6</v>
      </c>
      <c r="AI36" s="48">
        <f t="shared" si="23"/>
        <v>11.199999999999989</v>
      </c>
      <c r="AJ36" s="40">
        <f t="shared" si="32"/>
        <v>1591.3587172252537</v>
      </c>
      <c r="AK36" s="40">
        <f t="shared" si="33"/>
        <v>136</v>
      </c>
      <c r="AL36" s="40">
        <f t="shared" si="34"/>
        <v>-100000</v>
      </c>
      <c r="AM36" s="40">
        <f t="shared" si="24"/>
        <v>-100000</v>
      </c>
      <c r="AN36" s="40">
        <f t="shared" si="35"/>
        <v>999.0065560202964</v>
      </c>
      <c r="AO36" s="40">
        <f t="shared" si="36"/>
        <v>136</v>
      </c>
      <c r="AP36" s="40">
        <f t="shared" si="37"/>
        <v>-100000</v>
      </c>
      <c r="AQ36" s="40">
        <f t="shared" si="25"/>
        <v>-100000</v>
      </c>
      <c r="AR36" s="40">
        <f t="shared" si="26"/>
        <v>-100000</v>
      </c>
      <c r="AS36" s="41">
        <f t="shared" si="27"/>
        <v>-100000</v>
      </c>
      <c r="AT36" s="36"/>
      <c r="AU36" s="25"/>
      <c r="AV36" s="25"/>
      <c r="AW36" s="25"/>
      <c r="AX36" s="25"/>
      <c r="AY36" s="25"/>
      <c r="AZ36" s="25"/>
      <c r="BA36" s="25"/>
      <c r="BB36" s="25"/>
      <c r="BC36" s="25"/>
      <c r="BD36" s="25"/>
    </row>
    <row r="37" spans="1:56" s="2" customFormat="1" ht="13.5" customHeight="1">
      <c r="A37" s="35"/>
      <c r="B37" s="35"/>
      <c r="C37" s="35"/>
      <c r="D37" s="36"/>
      <c r="E37" s="36"/>
      <c r="F37" s="36"/>
      <c r="G37" s="36"/>
      <c r="H37" s="36"/>
      <c r="I37" s="36"/>
      <c r="J37" s="36"/>
      <c r="K37" s="36"/>
      <c r="L37" s="36"/>
      <c r="M37" s="36"/>
      <c r="N37" s="36"/>
      <c r="O37" s="36"/>
      <c r="P37" s="36"/>
      <c r="Q37" s="36"/>
      <c r="R37" s="36"/>
      <c r="S37" s="36"/>
      <c r="T37" s="36"/>
      <c r="U37" s="36"/>
      <c r="V37" s="36"/>
      <c r="W37" s="36"/>
      <c r="X37" s="36"/>
      <c r="Y37" s="36"/>
      <c r="Z37" s="36"/>
      <c r="AA37" s="39">
        <f t="shared" si="28"/>
        <v>140</v>
      </c>
      <c r="AB37" s="40">
        <f t="shared" si="19"/>
        <v>7611.001748086121</v>
      </c>
      <c r="AC37" s="40">
        <f t="shared" si="20"/>
        <v>8353.580092835193</v>
      </c>
      <c r="AD37" s="40">
        <f t="shared" si="29"/>
        <v>70.93214910030757</v>
      </c>
      <c r="AE37" s="40">
        <f t="shared" si="21"/>
        <v>110.88462157266392</v>
      </c>
      <c r="AF37" s="40">
        <f t="shared" si="30"/>
        <v>59.6684292345371</v>
      </c>
      <c r="AG37" s="40">
        <f t="shared" si="31"/>
        <v>54.364298200615146</v>
      </c>
      <c r="AH37" s="48">
        <f t="shared" si="22"/>
        <v>64</v>
      </c>
      <c r="AI37" s="48">
        <f t="shared" si="23"/>
        <v>8</v>
      </c>
      <c r="AJ37" s="40">
        <f t="shared" si="32"/>
        <v>1348.9982519138796</v>
      </c>
      <c r="AK37" s="40">
        <f t="shared" si="33"/>
        <v>140</v>
      </c>
      <c r="AL37" s="40">
        <f t="shared" si="34"/>
        <v>-100000</v>
      </c>
      <c r="AM37" s="40">
        <f t="shared" si="24"/>
        <v>-100000</v>
      </c>
      <c r="AN37" s="40">
        <f t="shared" si="35"/>
        <v>606.4199071648059</v>
      </c>
      <c r="AO37" s="40">
        <f t="shared" si="36"/>
        <v>140</v>
      </c>
      <c r="AP37" s="40">
        <f t="shared" si="37"/>
        <v>-100000</v>
      </c>
      <c r="AQ37" s="40">
        <f t="shared" si="25"/>
        <v>-100000</v>
      </c>
      <c r="AR37" s="40">
        <f t="shared" si="26"/>
        <v>-100000</v>
      </c>
      <c r="AS37" s="41">
        <f t="shared" si="27"/>
        <v>-100000</v>
      </c>
      <c r="AT37" s="36"/>
      <c r="AU37" s="25"/>
      <c r="AV37" s="25"/>
      <c r="AW37" s="25"/>
      <c r="AX37" s="25"/>
      <c r="AY37" s="25"/>
      <c r="AZ37" s="25"/>
      <c r="BA37" s="25"/>
      <c r="BB37" s="25"/>
      <c r="BC37" s="25"/>
      <c r="BD37" s="25"/>
    </row>
    <row r="38" spans="1:56" s="2" customFormat="1" ht="13.5" customHeight="1">
      <c r="A38" s="35"/>
      <c r="B38" s="35"/>
      <c r="C38" s="35"/>
      <c r="D38" s="35"/>
      <c r="E38" s="35"/>
      <c r="F38" s="36"/>
      <c r="G38" s="36"/>
      <c r="H38" s="36"/>
      <c r="I38" s="36"/>
      <c r="J38" s="36"/>
      <c r="K38" s="36"/>
      <c r="L38" s="36"/>
      <c r="M38" s="36"/>
      <c r="N38" s="36"/>
      <c r="O38" s="36"/>
      <c r="P38" s="36"/>
      <c r="Q38" s="36"/>
      <c r="R38" s="36"/>
      <c r="S38" s="36"/>
      <c r="T38" s="36"/>
      <c r="U38" s="36"/>
      <c r="V38" s="36"/>
      <c r="W38" s="36"/>
      <c r="X38" s="36"/>
      <c r="Y38" s="36"/>
      <c r="Z38" s="36"/>
      <c r="AA38" s="39">
        <f t="shared" si="28"/>
        <v>144</v>
      </c>
      <c r="AB38" s="40">
        <f t="shared" si="19"/>
        <v>7897.7087639996635</v>
      </c>
      <c r="AC38" s="40">
        <f t="shared" si="20"/>
        <v>8809.91179805015</v>
      </c>
      <c r="AD38" s="40">
        <f t="shared" si="29"/>
        <v>72.42259987499884</v>
      </c>
      <c r="AE38" s="40">
        <f t="shared" si="21"/>
        <v>117.31140372095709</v>
      </c>
      <c r="AF38" s="40">
        <f t="shared" si="30"/>
        <v>61.17994304201494</v>
      </c>
      <c r="AG38" s="40">
        <f t="shared" si="31"/>
        <v>54.84519974999766</v>
      </c>
      <c r="AH38" s="48">
        <f t="shared" si="22"/>
        <v>62.4</v>
      </c>
      <c r="AI38" s="48">
        <f t="shared" si="23"/>
        <v>4.799999999999997</v>
      </c>
      <c r="AJ38" s="40">
        <f t="shared" si="32"/>
        <v>1087.8912360003364</v>
      </c>
      <c r="AK38" s="40">
        <f t="shared" si="33"/>
        <v>144</v>
      </c>
      <c r="AL38" s="40">
        <f t="shared" si="34"/>
        <v>-100000</v>
      </c>
      <c r="AM38" s="40">
        <f t="shared" si="24"/>
        <v>-100000</v>
      </c>
      <c r="AN38" s="40">
        <f t="shared" si="35"/>
        <v>175.68820194984835</v>
      </c>
      <c r="AO38" s="40">
        <f t="shared" si="36"/>
        <v>144</v>
      </c>
      <c r="AP38" s="40">
        <f t="shared" si="37"/>
        <v>-100000</v>
      </c>
      <c r="AQ38" s="40">
        <f t="shared" si="25"/>
        <v>-100000</v>
      </c>
      <c r="AR38" s="40">
        <f t="shared" si="26"/>
        <v>-100000</v>
      </c>
      <c r="AS38" s="41">
        <f t="shared" si="27"/>
        <v>-100000</v>
      </c>
      <c r="AT38" s="36"/>
      <c r="AU38" s="25"/>
      <c r="AV38" s="25"/>
      <c r="AW38" s="25"/>
      <c r="AX38" s="25"/>
      <c r="AY38" s="25"/>
      <c r="AZ38" s="25"/>
      <c r="BA38" s="25"/>
      <c r="BB38" s="25"/>
      <c r="BC38" s="25"/>
      <c r="BD38" s="25"/>
    </row>
    <row r="39" spans="1:56" s="2" customFormat="1" ht="13.5" customHeight="1">
      <c r="A39" s="35"/>
      <c r="B39" s="35"/>
      <c r="C39" s="35"/>
      <c r="D39" s="35"/>
      <c r="E39" s="35"/>
      <c r="F39" s="36"/>
      <c r="G39" s="36"/>
      <c r="H39" s="36"/>
      <c r="I39" s="36"/>
      <c r="J39" s="36"/>
      <c r="K39" s="36"/>
      <c r="L39" s="36"/>
      <c r="M39" s="36"/>
      <c r="N39" s="36"/>
      <c r="O39" s="36"/>
      <c r="P39" s="36"/>
      <c r="Q39" s="36"/>
      <c r="R39" s="36"/>
      <c r="S39" s="36"/>
      <c r="T39" s="36"/>
      <c r="U39" s="36"/>
      <c r="V39" s="36"/>
      <c r="W39" s="36"/>
      <c r="X39" s="36"/>
      <c r="Y39" s="36"/>
      <c r="Z39" s="36"/>
      <c r="AA39" s="39">
        <f t="shared" si="28"/>
        <v>148</v>
      </c>
      <c r="AB39" s="40">
        <f t="shared" si="19"/>
        <v>8190.392135662785</v>
      </c>
      <c r="AC39" s="40">
        <f t="shared" si="20"/>
        <v>9292.312704091988</v>
      </c>
      <c r="AD39" s="40">
        <f t="shared" si="29"/>
        <v>73.92024370156346</v>
      </c>
      <c r="AE39" s="40">
        <f t="shared" si="21"/>
        <v>123.9192219861036</v>
      </c>
      <c r="AF39" s="40">
        <f t="shared" si="30"/>
        <v>62.785896649270185</v>
      </c>
      <c r="AG39" s="40">
        <f t="shared" si="31"/>
        <v>55.34048740312693</v>
      </c>
      <c r="AH39" s="48">
        <f t="shared" si="22"/>
        <v>60.8</v>
      </c>
      <c r="AI39" s="48">
        <f t="shared" si="23"/>
        <v>1.5999999999999943</v>
      </c>
      <c r="AJ39" s="40">
        <f t="shared" si="32"/>
        <v>808.0078643372142</v>
      </c>
      <c r="AK39" s="40">
        <f t="shared" si="33"/>
        <v>148</v>
      </c>
      <c r="AL39" s="40">
        <f t="shared" si="34"/>
        <v>-100000</v>
      </c>
      <c r="AM39" s="40">
        <f t="shared" si="24"/>
        <v>-100000</v>
      </c>
      <c r="AN39" s="40">
        <f t="shared" si="35"/>
        <v>-293.91270409198785</v>
      </c>
      <c r="AO39" s="40">
        <f t="shared" si="36"/>
        <v>148</v>
      </c>
      <c r="AP39" s="40">
        <f t="shared" si="37"/>
        <v>-100000</v>
      </c>
      <c r="AQ39" s="40">
        <f t="shared" si="25"/>
        <v>-100000</v>
      </c>
      <c r="AR39" s="40">
        <f t="shared" si="26"/>
        <v>-100000</v>
      </c>
      <c r="AS39" s="41">
        <f t="shared" si="27"/>
        <v>-100000</v>
      </c>
      <c r="AT39" s="36"/>
      <c r="AU39" s="25"/>
      <c r="AV39" s="25"/>
      <c r="AW39" s="25"/>
      <c r="AX39" s="25"/>
      <c r="AY39" s="25"/>
      <c r="AZ39" s="25"/>
      <c r="BA39" s="25"/>
      <c r="BB39" s="25"/>
      <c r="BC39" s="25"/>
      <c r="BD39" s="25"/>
    </row>
    <row r="40" spans="1:56" s="2" customFormat="1" ht="13.5" customHeight="1">
      <c r="A40" s="35"/>
      <c r="B40" s="35"/>
      <c r="C40" s="35"/>
      <c r="D40" s="35"/>
      <c r="E40" s="35"/>
      <c r="F40" s="36"/>
      <c r="G40" s="36"/>
      <c r="H40" s="36"/>
      <c r="I40" s="36"/>
      <c r="J40" s="36"/>
      <c r="K40" s="36"/>
      <c r="L40" s="36"/>
      <c r="M40" s="36"/>
      <c r="N40" s="36"/>
      <c r="O40" s="36"/>
      <c r="P40" s="36"/>
      <c r="Q40" s="36"/>
      <c r="R40" s="36"/>
      <c r="S40" s="36"/>
      <c r="T40" s="36"/>
      <c r="U40" s="36"/>
      <c r="V40" s="36"/>
      <c r="W40" s="36"/>
      <c r="X40" s="36"/>
      <c r="Y40" s="36"/>
      <c r="Z40" s="36"/>
      <c r="AA40" s="39">
        <f t="shared" si="28"/>
        <v>152</v>
      </c>
      <c r="AB40" s="40">
        <f t="shared" si="19"/>
        <v>8489.07966722406</v>
      </c>
      <c r="AC40" s="40">
        <f t="shared" si="20"/>
        <v>9801.506955428118</v>
      </c>
      <c r="AD40" s="40">
        <f t="shared" si="29"/>
        <v>75.4246041685002</v>
      </c>
      <c r="AE40" s="40">
        <f t="shared" si="21"/>
        <v>130.70807636810343</v>
      </c>
      <c r="AF40" s="40">
        <f t="shared" si="30"/>
        <v>64.48359839097446</v>
      </c>
      <c r="AG40" s="40">
        <f t="shared" si="31"/>
        <v>55.84920833700039</v>
      </c>
      <c r="AH40" s="48">
        <f t="shared" si="22"/>
        <v>59.199999999999996</v>
      </c>
      <c r="AI40" s="48">
        <f t="shared" si="23"/>
        <v>-1.6000000000000085</v>
      </c>
      <c r="AJ40" s="40">
        <f t="shared" si="32"/>
        <v>509.3203327759399</v>
      </c>
      <c r="AK40" s="40">
        <f t="shared" si="33"/>
        <v>152</v>
      </c>
      <c r="AL40" s="40">
        <f t="shared" si="34"/>
        <v>-100000</v>
      </c>
      <c r="AM40" s="40">
        <f t="shared" si="24"/>
        <v>-100000</v>
      </c>
      <c r="AN40" s="40">
        <f t="shared" si="35"/>
        <v>-803.1069554281191</v>
      </c>
      <c r="AO40" s="40">
        <f t="shared" si="36"/>
        <v>152</v>
      </c>
      <c r="AP40" s="40">
        <f t="shared" si="37"/>
        <v>-100000</v>
      </c>
      <c r="AQ40" s="40">
        <f t="shared" si="25"/>
        <v>-100000</v>
      </c>
      <c r="AR40" s="40">
        <f t="shared" si="26"/>
        <v>-100000</v>
      </c>
      <c r="AS40" s="41">
        <f t="shared" si="27"/>
        <v>-100000</v>
      </c>
      <c r="AT40" s="36"/>
      <c r="AU40" s="25"/>
      <c r="AV40" s="25"/>
      <c r="AW40" s="25"/>
      <c r="AX40" s="25"/>
      <c r="AY40" s="25"/>
      <c r="AZ40" s="25"/>
      <c r="BA40" s="25"/>
      <c r="BB40" s="25"/>
      <c r="BC40" s="25"/>
      <c r="BD40" s="25"/>
    </row>
    <row r="41" spans="1:56" ht="13.5" customHeight="1">
      <c r="A41" s="35"/>
      <c r="B41" s="35"/>
      <c r="C41" s="35"/>
      <c r="D41" s="35"/>
      <c r="E41" s="35"/>
      <c r="F41" s="35"/>
      <c r="G41" s="35"/>
      <c r="H41" s="35"/>
      <c r="I41" s="35"/>
      <c r="J41" s="35"/>
      <c r="K41" s="35"/>
      <c r="L41" s="35"/>
      <c r="M41" s="35"/>
      <c r="N41" s="35"/>
      <c r="O41" s="35"/>
      <c r="P41" s="35"/>
      <c r="Q41" s="36"/>
      <c r="R41" s="35"/>
      <c r="S41" s="35"/>
      <c r="T41" s="35"/>
      <c r="U41" s="35"/>
      <c r="V41" s="35"/>
      <c r="W41" s="35"/>
      <c r="X41" s="35"/>
      <c r="Y41" s="35"/>
      <c r="Z41" s="35"/>
      <c r="AA41" s="39">
        <f t="shared" si="28"/>
        <v>156</v>
      </c>
      <c r="AB41" s="51">
        <f t="shared" si="19"/>
        <v>8793.79734500505</v>
      </c>
      <c r="AC41" s="51">
        <f t="shared" si="20"/>
        <v>10338.218696525953</v>
      </c>
      <c r="AD41" s="51">
        <f t="shared" si="29"/>
        <v>76.93524790065722</v>
      </c>
      <c r="AE41" s="51">
        <f t="shared" si="21"/>
        <v>137.67796686695658</v>
      </c>
      <c r="AF41" s="51">
        <f t="shared" si="30"/>
        <v>66.27063267003817</v>
      </c>
      <c r="AG41" s="51">
        <f t="shared" si="31"/>
        <v>56.370495801314426</v>
      </c>
      <c r="AH41" s="48">
        <f t="shared" si="22"/>
        <v>57.599999999999994</v>
      </c>
      <c r="AI41" s="48">
        <f t="shared" si="23"/>
        <v>-4.800000000000011</v>
      </c>
      <c r="AJ41" s="40">
        <f t="shared" si="32"/>
        <v>191.8026549949486</v>
      </c>
      <c r="AK41" s="40">
        <f t="shared" si="33"/>
        <v>156</v>
      </c>
      <c r="AL41" s="40">
        <f t="shared" si="34"/>
        <v>-100000</v>
      </c>
      <c r="AM41" s="40">
        <f t="shared" si="24"/>
        <v>-100000</v>
      </c>
      <c r="AN41" s="40">
        <f t="shared" si="35"/>
        <v>-1352.618696525955</v>
      </c>
      <c r="AO41" s="40">
        <f t="shared" si="36"/>
        <v>156</v>
      </c>
      <c r="AP41" s="40">
        <f t="shared" si="37"/>
        <v>-100000</v>
      </c>
      <c r="AQ41" s="40">
        <f t="shared" si="25"/>
        <v>-100000</v>
      </c>
      <c r="AR41" s="40">
        <f t="shared" si="26"/>
        <v>-100000</v>
      </c>
      <c r="AS41" s="41">
        <f t="shared" si="27"/>
        <v>-100000</v>
      </c>
      <c r="AT41" s="35"/>
      <c r="AU41" s="32"/>
      <c r="AV41" s="32"/>
      <c r="AW41" s="32"/>
      <c r="AX41" s="32"/>
      <c r="AY41" s="32"/>
      <c r="AZ41" s="32"/>
      <c r="BA41" s="32"/>
      <c r="BB41" s="32"/>
      <c r="BC41" s="32"/>
      <c r="BD41" s="32"/>
    </row>
    <row r="42" spans="1:56" ht="13.5" customHeight="1">
      <c r="A42" s="35"/>
      <c r="B42" s="35"/>
      <c r="C42" s="35"/>
      <c r="D42" s="35"/>
      <c r="E42" s="35"/>
      <c r="F42" s="35"/>
      <c r="G42" s="35"/>
      <c r="H42" s="35"/>
      <c r="I42" s="35"/>
      <c r="J42" s="35"/>
      <c r="K42" s="35"/>
      <c r="L42" s="35"/>
      <c r="M42" s="35"/>
      <c r="N42" s="35"/>
      <c r="O42" s="35"/>
      <c r="P42" s="35"/>
      <c r="Q42" s="36"/>
      <c r="R42" s="35"/>
      <c r="S42" s="35"/>
      <c r="T42" s="35"/>
      <c r="U42" s="35"/>
      <c r="V42" s="35"/>
      <c r="W42" s="35"/>
      <c r="X42" s="35"/>
      <c r="Y42" s="35"/>
      <c r="Z42" s="35"/>
      <c r="AA42" s="39">
        <f t="shared" si="28"/>
        <v>160</v>
      </c>
      <c r="AB42" s="51">
        <f t="shared" si="19"/>
        <v>9104.569499661588</v>
      </c>
      <c r="AC42" s="51">
        <f t="shared" si="20"/>
        <v>10903.172071852909</v>
      </c>
      <c r="AD42" s="51">
        <f t="shared" si="29"/>
        <v>78.45177968644246</v>
      </c>
      <c r="AE42" s="51">
        <f t="shared" si="21"/>
        <v>144.8288934826631</v>
      </c>
      <c r="AF42" s="51">
        <f t="shared" si="30"/>
        <v>68.14482544908068</v>
      </c>
      <c r="AG42" s="51">
        <f t="shared" si="31"/>
        <v>56.903559372884914</v>
      </c>
      <c r="AH42" s="48">
        <f t="shared" si="22"/>
        <v>56</v>
      </c>
      <c r="AI42" s="48">
        <f t="shared" si="23"/>
        <v>-8</v>
      </c>
      <c r="AJ42" s="40">
        <f t="shared" si="32"/>
        <v>-144.56949966158618</v>
      </c>
      <c r="AK42" s="40">
        <f t="shared" si="33"/>
        <v>160</v>
      </c>
      <c r="AL42" s="40">
        <f t="shared" si="34"/>
        <v>-100000</v>
      </c>
      <c r="AM42" s="40">
        <f t="shared" si="24"/>
        <v>-100000</v>
      </c>
      <c r="AN42" s="40">
        <f t="shared" si="35"/>
        <v>-1943.1720718529095</v>
      </c>
      <c r="AO42" s="40">
        <f t="shared" si="36"/>
        <v>160</v>
      </c>
      <c r="AP42" s="40">
        <f t="shared" si="37"/>
        <v>-100000</v>
      </c>
      <c r="AQ42" s="40">
        <f t="shared" si="25"/>
        <v>-100000</v>
      </c>
      <c r="AR42" s="40">
        <f t="shared" si="26"/>
        <v>-100000</v>
      </c>
      <c r="AS42" s="41">
        <f t="shared" si="27"/>
        <v>-100000</v>
      </c>
      <c r="AT42" s="35"/>
      <c r="AU42" s="32"/>
      <c r="AV42" s="32"/>
      <c r="AW42" s="32"/>
      <c r="AX42" s="32"/>
      <c r="AY42" s="32"/>
      <c r="AZ42" s="32"/>
      <c r="BA42" s="32"/>
      <c r="BB42" s="32"/>
      <c r="BC42" s="32"/>
      <c r="BD42" s="32"/>
    </row>
    <row r="43" spans="1:56" ht="13.5" customHeight="1">
      <c r="A43" s="35"/>
      <c r="B43" s="35"/>
      <c r="C43" s="35"/>
      <c r="D43" s="35"/>
      <c r="E43" s="35"/>
      <c r="F43" s="35"/>
      <c r="G43" s="35"/>
      <c r="H43" s="35"/>
      <c r="I43" s="35"/>
      <c r="J43" s="35"/>
      <c r="K43" s="35"/>
      <c r="L43" s="35"/>
      <c r="M43" s="35"/>
      <c r="N43" s="35"/>
      <c r="O43" s="35"/>
      <c r="P43" s="35"/>
      <c r="Q43" s="36"/>
      <c r="R43" s="35"/>
      <c r="S43" s="35"/>
      <c r="T43" s="35"/>
      <c r="U43" s="35"/>
      <c r="V43" s="35"/>
      <c r="W43" s="35"/>
      <c r="X43" s="35"/>
      <c r="Y43" s="35"/>
      <c r="Z43" s="35"/>
      <c r="AA43" s="39">
        <f t="shared" si="28"/>
        <v>164</v>
      </c>
      <c r="AB43" s="51">
        <f t="shared" si="19"/>
        <v>9421.418950207028</v>
      </c>
      <c r="AC43" s="51">
        <f t="shared" si="20"/>
        <v>11497.091225876396</v>
      </c>
      <c r="AD43" s="51">
        <f t="shared" si="29"/>
        <v>79.97383826282632</v>
      </c>
      <c r="AE43" s="51">
        <f t="shared" si="21"/>
        <v>152.1608562152229</v>
      </c>
      <c r="AF43" s="51">
        <f t="shared" si="30"/>
        <v>70.10421479192925</v>
      </c>
      <c r="AG43" s="51">
        <f t="shared" si="31"/>
        <v>57.44767652565261</v>
      </c>
      <c r="AH43" s="48">
        <f t="shared" si="22"/>
        <v>54.39999999999999</v>
      </c>
      <c r="AI43" s="48">
        <f t="shared" si="23"/>
        <v>-11.200000000000017</v>
      </c>
      <c r="AJ43" s="40">
        <f t="shared" si="32"/>
        <v>-499.81895020702956</v>
      </c>
      <c r="AK43" s="40">
        <f t="shared" si="33"/>
        <v>164</v>
      </c>
      <c r="AL43" s="40">
        <f t="shared" si="34"/>
        <v>-100000</v>
      </c>
      <c r="AM43" s="40">
        <f t="shared" si="24"/>
        <v>-100000</v>
      </c>
      <c r="AN43" s="40">
        <f t="shared" si="35"/>
        <v>-2575.491225876399</v>
      </c>
      <c r="AO43" s="40">
        <f t="shared" si="36"/>
        <v>164</v>
      </c>
      <c r="AP43" s="40">
        <f t="shared" si="37"/>
        <v>-100000</v>
      </c>
      <c r="AQ43" s="40">
        <f t="shared" si="25"/>
        <v>-100000</v>
      </c>
      <c r="AR43" s="40">
        <f t="shared" si="26"/>
        <v>-100000</v>
      </c>
      <c r="AS43" s="41">
        <f t="shared" si="27"/>
        <v>-100000</v>
      </c>
      <c r="AT43" s="35"/>
      <c r="AU43" s="32"/>
      <c r="AV43" s="32"/>
      <c r="AW43" s="32"/>
      <c r="AX43" s="32"/>
      <c r="AY43" s="32"/>
      <c r="AZ43" s="32"/>
      <c r="BA43" s="32"/>
      <c r="BB43" s="32"/>
      <c r="BC43" s="32"/>
      <c r="BD43" s="32"/>
    </row>
    <row r="44" spans="1:56" ht="13.5" customHeight="1">
      <c r="A44" s="35"/>
      <c r="B44" s="35"/>
      <c r="C44" s="35"/>
      <c r="D44" s="35"/>
      <c r="E44" s="35"/>
      <c r="F44" s="35"/>
      <c r="G44" s="35"/>
      <c r="H44" s="35"/>
      <c r="I44" s="35"/>
      <c r="J44" s="35"/>
      <c r="K44" s="35"/>
      <c r="L44" s="35"/>
      <c r="M44" s="35"/>
      <c r="N44" s="35"/>
      <c r="O44" s="35"/>
      <c r="P44" s="35"/>
      <c r="Q44" s="36"/>
      <c r="R44" s="35"/>
      <c r="S44" s="35"/>
      <c r="T44" s="35"/>
      <c r="U44" s="35"/>
      <c r="V44" s="35"/>
      <c r="W44" s="35"/>
      <c r="X44" s="35"/>
      <c r="Y44" s="35"/>
      <c r="Z44" s="35"/>
      <c r="AA44" s="39">
        <f t="shared" si="28"/>
        <v>168</v>
      </c>
      <c r="AB44" s="51">
        <f t="shared" si="19"/>
        <v>9744.367132317184</v>
      </c>
      <c r="AC44" s="51">
        <f t="shared" si="20"/>
        <v>12120.70030306383</v>
      </c>
      <c r="AD44" s="51">
        <f t="shared" si="29"/>
        <v>81.5010926557059</v>
      </c>
      <c r="AE44" s="51">
        <f t="shared" si="21"/>
        <v>159.67385506463606</v>
      </c>
      <c r="AF44" s="51">
        <f t="shared" si="30"/>
        <v>72.14702561347517</v>
      </c>
      <c r="AG44" s="51">
        <f t="shared" si="31"/>
        <v>58.00218531141181</v>
      </c>
      <c r="AH44" s="48">
        <f t="shared" si="22"/>
        <v>52.8</v>
      </c>
      <c r="AI44" s="48">
        <f t="shared" si="23"/>
        <v>-14.400000000000006</v>
      </c>
      <c r="AJ44" s="40">
        <f t="shared" si="32"/>
        <v>-873.9671323171841</v>
      </c>
      <c r="AK44" s="40">
        <f t="shared" si="33"/>
        <v>168</v>
      </c>
      <c r="AL44" s="40">
        <f t="shared" si="34"/>
        <v>-100000</v>
      </c>
      <c r="AM44" s="40">
        <f t="shared" si="24"/>
        <v>-100000</v>
      </c>
      <c r="AN44" s="40">
        <f t="shared" si="35"/>
        <v>-3250.3003030638283</v>
      </c>
      <c r="AO44" s="40">
        <f t="shared" si="36"/>
        <v>168</v>
      </c>
      <c r="AP44" s="40">
        <f t="shared" si="37"/>
        <v>-100000</v>
      </c>
      <c r="AQ44" s="40">
        <f t="shared" si="25"/>
        <v>-100000</v>
      </c>
      <c r="AR44" s="40">
        <f t="shared" si="26"/>
        <v>-100000</v>
      </c>
      <c r="AS44" s="41">
        <f t="shared" si="27"/>
        <v>-100000</v>
      </c>
      <c r="AT44" s="35"/>
      <c r="AU44" s="32"/>
      <c r="AV44" s="32"/>
      <c r="AW44" s="32"/>
      <c r="AX44" s="32"/>
      <c r="AY44" s="32"/>
      <c r="AZ44" s="32"/>
      <c r="BA44" s="32"/>
      <c r="BB44" s="32"/>
      <c r="BC44" s="32"/>
      <c r="BD44" s="32"/>
    </row>
    <row r="45" spans="1:56" ht="13.5" customHeight="1">
      <c r="A45" s="35"/>
      <c r="B45" s="35"/>
      <c r="C45" s="35"/>
      <c r="D45" s="35"/>
      <c r="E45" s="35"/>
      <c r="F45" s="35"/>
      <c r="G45" s="35"/>
      <c r="H45" s="35"/>
      <c r="I45" s="35"/>
      <c r="J45" s="35"/>
      <c r="K45" s="35"/>
      <c r="L45" s="35"/>
      <c r="M45" s="35"/>
      <c r="N45" s="35"/>
      <c r="O45" s="35"/>
      <c r="P45" s="35"/>
      <c r="Q45" s="36"/>
      <c r="R45" s="35"/>
      <c r="S45" s="35"/>
      <c r="T45" s="35"/>
      <c r="U45" s="35"/>
      <c r="V45" s="35"/>
      <c r="W45" s="35"/>
      <c r="X45" s="35"/>
      <c r="Y45" s="35"/>
      <c r="Z45" s="35"/>
      <c r="AA45" s="39">
        <f t="shared" si="28"/>
        <v>172</v>
      </c>
      <c r="AB45" s="51">
        <f t="shared" si="19"/>
        <v>10073.434212964048</v>
      </c>
      <c r="AC45" s="51">
        <f t="shared" si="20"/>
        <v>12774.723447882621</v>
      </c>
      <c r="AD45" s="51">
        <f t="shared" si="29"/>
        <v>83.03323899117456</v>
      </c>
      <c r="AE45" s="51">
        <f t="shared" si="21"/>
        <v>167.36789003090252</v>
      </c>
      <c r="AF45" s="51">
        <f t="shared" si="30"/>
        <v>74.27164795280595</v>
      </c>
      <c r="AG45" s="51">
        <f t="shared" si="31"/>
        <v>58.56647798234911</v>
      </c>
      <c r="AH45" s="48">
        <f t="shared" si="22"/>
        <v>51.2</v>
      </c>
      <c r="AI45" s="48">
        <f t="shared" si="23"/>
        <v>-17.599999999999994</v>
      </c>
      <c r="AJ45" s="40">
        <f t="shared" si="32"/>
        <v>-1267.034212964047</v>
      </c>
      <c r="AK45" s="40">
        <f t="shared" si="33"/>
        <v>172</v>
      </c>
      <c r="AL45" s="40">
        <f t="shared" si="34"/>
        <v>-100000</v>
      </c>
      <c r="AM45" s="40">
        <f t="shared" si="24"/>
        <v>-100000</v>
      </c>
      <c r="AN45" s="40">
        <f t="shared" si="35"/>
        <v>-3968.323447882623</v>
      </c>
      <c r="AO45" s="40">
        <f t="shared" si="36"/>
        <v>172</v>
      </c>
      <c r="AP45" s="40">
        <f t="shared" si="37"/>
        <v>-100000</v>
      </c>
      <c r="AQ45" s="40">
        <f t="shared" si="25"/>
        <v>-100000</v>
      </c>
      <c r="AR45" s="40">
        <f t="shared" si="26"/>
        <v>-100000</v>
      </c>
      <c r="AS45" s="41">
        <f t="shared" si="27"/>
        <v>-100000</v>
      </c>
      <c r="AT45" s="35"/>
      <c r="AU45" s="32"/>
      <c r="AV45" s="32"/>
      <c r="AW45" s="32"/>
      <c r="AX45" s="32"/>
      <c r="AY45" s="32"/>
      <c r="AZ45" s="32"/>
      <c r="BA45" s="32"/>
      <c r="BB45" s="32"/>
      <c r="BC45" s="32"/>
      <c r="BD45" s="32"/>
    </row>
    <row r="46" spans="1:56" ht="13.5" customHeight="1">
      <c r="A46" s="35"/>
      <c r="B46" s="35"/>
      <c r="C46" s="35"/>
      <c r="D46" s="35"/>
      <c r="E46" s="35"/>
      <c r="F46" s="35"/>
      <c r="G46" s="35"/>
      <c r="H46" s="35"/>
      <c r="I46" s="35"/>
      <c r="J46" s="35"/>
      <c r="K46" s="35"/>
      <c r="L46" s="35"/>
      <c r="M46" s="35"/>
      <c r="N46" s="35"/>
      <c r="O46" s="35"/>
      <c r="P46" s="35"/>
      <c r="Q46" s="36"/>
      <c r="R46" s="35"/>
      <c r="S46" s="35"/>
      <c r="T46" s="35"/>
      <c r="U46" s="35"/>
      <c r="V46" s="35"/>
      <c r="W46" s="35"/>
      <c r="X46" s="35"/>
      <c r="Y46" s="35"/>
      <c r="Z46" s="35"/>
      <c r="AA46" s="39">
        <f t="shared" si="28"/>
        <v>176</v>
      </c>
      <c r="AB46" s="51">
        <f t="shared" si="19"/>
        <v>10408.639193117688</v>
      </c>
      <c r="AC46" s="51">
        <f t="shared" si="20"/>
        <v>13459.884804800186</v>
      </c>
      <c r="AD46" s="51">
        <f t="shared" si="29"/>
        <v>84.56999770772072</v>
      </c>
      <c r="AE46" s="51">
        <f t="shared" si="21"/>
        <v>175.24296111402234</v>
      </c>
      <c r="AF46" s="51">
        <f t="shared" si="30"/>
        <v>76.47661820909198</v>
      </c>
      <c r="AG46" s="51">
        <f t="shared" si="31"/>
        <v>59.139995415441405</v>
      </c>
      <c r="AH46" s="48">
        <f t="shared" si="22"/>
        <v>49.599999999999994</v>
      </c>
      <c r="AI46" s="48">
        <f t="shared" si="23"/>
        <v>-20.80000000000001</v>
      </c>
      <c r="AJ46" s="40">
        <f t="shared" si="32"/>
        <v>-1679.0391931176882</v>
      </c>
      <c r="AK46" s="40">
        <f t="shared" si="33"/>
        <v>176</v>
      </c>
      <c r="AL46" s="40">
        <f t="shared" si="34"/>
        <v>-100000</v>
      </c>
      <c r="AM46" s="40">
        <f t="shared" si="24"/>
        <v>-100000</v>
      </c>
      <c r="AN46" s="40">
        <f t="shared" si="35"/>
        <v>-4730.28480480019</v>
      </c>
      <c r="AO46" s="40">
        <f t="shared" si="36"/>
        <v>176</v>
      </c>
      <c r="AP46" s="40">
        <f t="shared" si="37"/>
        <v>-100000</v>
      </c>
      <c r="AQ46" s="40">
        <f t="shared" si="25"/>
        <v>-100000</v>
      </c>
      <c r="AR46" s="40">
        <f t="shared" si="26"/>
        <v>-100000</v>
      </c>
      <c r="AS46" s="41">
        <f t="shared" si="27"/>
        <v>-100000</v>
      </c>
      <c r="AT46" s="35"/>
      <c r="AU46" s="32"/>
      <c r="AV46" s="32"/>
      <c r="AW46" s="32"/>
      <c r="AX46" s="32"/>
      <c r="AY46" s="32"/>
      <c r="AZ46" s="32"/>
      <c r="BA46" s="32"/>
      <c r="BB46" s="32"/>
      <c r="BC46" s="32"/>
      <c r="BD46" s="32"/>
    </row>
    <row r="47" spans="1:56" ht="13.5" customHeight="1">
      <c r="A47" s="35"/>
      <c r="B47" s="35"/>
      <c r="C47" s="35"/>
      <c r="D47" s="35"/>
      <c r="E47" s="35"/>
      <c r="F47" s="35"/>
      <c r="G47" s="35"/>
      <c r="H47" s="35"/>
      <c r="I47" s="35"/>
      <c r="J47" s="35"/>
      <c r="K47" s="35"/>
      <c r="L47" s="35"/>
      <c r="M47" s="35"/>
      <c r="N47" s="35"/>
      <c r="O47" s="35"/>
      <c r="P47" s="35"/>
      <c r="Q47" s="36"/>
      <c r="R47" s="35"/>
      <c r="S47" s="35"/>
      <c r="T47" s="35"/>
      <c r="U47" s="35"/>
      <c r="V47" s="35"/>
      <c r="W47" s="35"/>
      <c r="X47" s="35"/>
      <c r="Y47" s="35"/>
      <c r="Z47" s="35"/>
      <c r="AA47" s="39">
        <f t="shared" si="28"/>
        <v>180</v>
      </c>
      <c r="AB47" s="51">
        <f t="shared" si="19"/>
        <v>10750</v>
      </c>
      <c r="AC47" s="51">
        <f t="shared" si="20"/>
        <v>14176.908518283937</v>
      </c>
      <c r="AD47" s="51">
        <f t="shared" si="29"/>
        <v>86.11111111111111</v>
      </c>
      <c r="AE47" s="51">
        <f t="shared" si="21"/>
        <v>183.29906831399546</v>
      </c>
      <c r="AF47" s="51">
        <f t="shared" si="30"/>
        <v>78.76060287935522</v>
      </c>
      <c r="AG47" s="51">
        <f t="shared" si="31"/>
        <v>59.72222222222222</v>
      </c>
      <c r="AH47" s="48">
        <f t="shared" si="22"/>
        <v>48</v>
      </c>
      <c r="AI47" s="48">
        <f t="shared" si="23"/>
        <v>-24</v>
      </c>
      <c r="AJ47" s="40">
        <f t="shared" si="32"/>
        <v>-2110</v>
      </c>
      <c r="AK47" s="40">
        <f t="shared" si="33"/>
        <v>180</v>
      </c>
      <c r="AL47" s="40">
        <f t="shared" si="34"/>
        <v>-100000</v>
      </c>
      <c r="AM47" s="40">
        <f t="shared" si="24"/>
        <v>-100000</v>
      </c>
      <c r="AN47" s="40">
        <f t="shared" si="35"/>
        <v>-5536.908518283939</v>
      </c>
      <c r="AO47" s="40">
        <f t="shared" si="36"/>
        <v>180</v>
      </c>
      <c r="AP47" s="40">
        <f t="shared" si="37"/>
        <v>-100000</v>
      </c>
      <c r="AQ47" s="40">
        <f t="shared" si="25"/>
        <v>-100000</v>
      </c>
      <c r="AR47" s="40">
        <f t="shared" si="26"/>
        <v>-100000</v>
      </c>
      <c r="AS47" s="41">
        <f t="shared" si="27"/>
        <v>-100000</v>
      </c>
      <c r="AT47" s="35"/>
      <c r="AU47" s="32"/>
      <c r="AV47" s="32"/>
      <c r="AW47" s="32"/>
      <c r="AX47" s="32"/>
      <c r="AY47" s="32"/>
      <c r="AZ47" s="32"/>
      <c r="BA47" s="32"/>
      <c r="BB47" s="32"/>
      <c r="BC47" s="32"/>
      <c r="BD47" s="32"/>
    </row>
    <row r="48" spans="1:56" ht="13.5" customHeight="1">
      <c r="A48" s="35"/>
      <c r="B48" s="35"/>
      <c r="C48" s="35"/>
      <c r="D48" s="35"/>
      <c r="E48" s="35"/>
      <c r="F48" s="35"/>
      <c r="G48" s="35"/>
      <c r="H48" s="35"/>
      <c r="I48" s="35"/>
      <c r="J48" s="35"/>
      <c r="K48" s="35"/>
      <c r="L48" s="35"/>
      <c r="M48" s="35"/>
      <c r="N48" s="35"/>
      <c r="O48" s="35"/>
      <c r="P48" s="35"/>
      <c r="Q48" s="36"/>
      <c r="R48" s="35"/>
      <c r="S48" s="35"/>
      <c r="T48" s="35"/>
      <c r="U48" s="35"/>
      <c r="V48" s="35"/>
      <c r="W48" s="35"/>
      <c r="X48" s="35"/>
      <c r="Y48" s="35"/>
      <c r="Z48" s="35"/>
      <c r="AA48" s="39">
        <f t="shared" si="28"/>
        <v>184</v>
      </c>
      <c r="AB48" s="51">
        <f t="shared" si="19"/>
        <v>11097.533570160827</v>
      </c>
      <c r="AC48" s="51">
        <f t="shared" si="20"/>
        <v>14926.518732801287</v>
      </c>
      <c r="AD48" s="51">
        <f t="shared" si="29"/>
        <v>87.65634122326313</v>
      </c>
      <c r="AE48" s="51">
        <f t="shared" si="21"/>
        <v>191.53621163082192</v>
      </c>
      <c r="AF48" s="51">
        <f t="shared" si="30"/>
        <v>81.12238441739831</v>
      </c>
      <c r="AG48" s="51">
        <f t="shared" si="31"/>
        <v>60.31268244652624</v>
      </c>
      <c r="AH48" s="48">
        <f t="shared" si="22"/>
        <v>46.39999999999999</v>
      </c>
      <c r="AI48" s="48">
        <f t="shared" si="23"/>
        <v>-27.200000000000017</v>
      </c>
      <c r="AJ48" s="40">
        <f t="shared" si="32"/>
        <v>-2559.9335701608297</v>
      </c>
      <c r="AK48" s="40">
        <f t="shared" si="33"/>
        <v>184</v>
      </c>
      <c r="AL48" s="40">
        <f t="shared" si="34"/>
        <v>-100000</v>
      </c>
      <c r="AM48" s="40">
        <f t="shared" si="24"/>
        <v>-100000</v>
      </c>
      <c r="AN48" s="40">
        <f t="shared" si="35"/>
        <v>-6388.91873280129</v>
      </c>
      <c r="AO48" s="40">
        <f t="shared" si="36"/>
        <v>184</v>
      </c>
      <c r="AP48" s="40">
        <f t="shared" si="37"/>
        <v>-100000</v>
      </c>
      <c r="AQ48" s="40">
        <f t="shared" si="25"/>
        <v>-100000</v>
      </c>
      <c r="AR48" s="40">
        <f t="shared" si="26"/>
        <v>-100000</v>
      </c>
      <c r="AS48" s="41">
        <f t="shared" si="27"/>
        <v>-100000</v>
      </c>
      <c r="AT48" s="35"/>
      <c r="AU48" s="32"/>
      <c r="AV48" s="32"/>
      <c r="AW48" s="32"/>
      <c r="AX48" s="32"/>
      <c r="AY48" s="32"/>
      <c r="AZ48" s="32"/>
      <c r="BA48" s="32"/>
      <c r="BB48" s="32"/>
      <c r="BC48" s="32"/>
      <c r="BD48" s="32"/>
    </row>
    <row r="49" spans="1:56" ht="13.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9">
        <f t="shared" si="28"/>
        <v>188</v>
      </c>
      <c r="AB49" s="51">
        <f t="shared" si="19"/>
        <v>11451.255924468238</v>
      </c>
      <c r="AC49" s="51">
        <f t="shared" si="20"/>
        <v>15709.43959281965</v>
      </c>
      <c r="AD49" s="51">
        <f t="shared" si="29"/>
        <v>89.20546788422405</v>
      </c>
      <c r="AE49" s="51">
        <f t="shared" si="21"/>
        <v>199.95439106450172</v>
      </c>
      <c r="AF49" s="51">
        <f t="shared" si="30"/>
        <v>83.56084889797687</v>
      </c>
      <c r="AG49" s="51">
        <f t="shared" si="31"/>
        <v>60.91093576844808</v>
      </c>
      <c r="AH49" s="48">
        <f t="shared" si="22"/>
        <v>44.8</v>
      </c>
      <c r="AI49" s="48">
        <f t="shared" si="23"/>
        <v>-30.400000000000006</v>
      </c>
      <c r="AJ49" s="40">
        <f t="shared" si="32"/>
        <v>-3028.855924468239</v>
      </c>
      <c r="AK49" s="40">
        <f t="shared" si="33"/>
        <v>188</v>
      </c>
      <c r="AL49" s="40">
        <f t="shared" si="34"/>
        <v>-100000</v>
      </c>
      <c r="AM49" s="40">
        <f t="shared" si="24"/>
        <v>-100000</v>
      </c>
      <c r="AN49" s="40">
        <f t="shared" si="35"/>
        <v>-7287.039592819652</v>
      </c>
      <c r="AO49" s="40">
        <f t="shared" si="36"/>
        <v>188</v>
      </c>
      <c r="AP49" s="40">
        <f t="shared" si="37"/>
        <v>-100000</v>
      </c>
      <c r="AQ49" s="40">
        <f t="shared" si="25"/>
        <v>-100000</v>
      </c>
      <c r="AR49" s="40">
        <f t="shared" si="26"/>
        <v>-100000</v>
      </c>
      <c r="AS49" s="41">
        <f t="shared" si="27"/>
        <v>-100000</v>
      </c>
      <c r="AT49" s="35"/>
      <c r="AU49" s="32"/>
      <c r="AV49" s="32"/>
      <c r="AW49" s="32"/>
      <c r="AX49" s="32"/>
      <c r="AY49" s="32"/>
      <c r="AZ49" s="32"/>
      <c r="BA49" s="32"/>
      <c r="BB49" s="32"/>
      <c r="BC49" s="32"/>
      <c r="BD49" s="32"/>
    </row>
    <row r="50" spans="1:56" ht="13.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9">
        <f t="shared" si="28"/>
        <v>192</v>
      </c>
      <c r="AB50" s="51">
        <f t="shared" si="19"/>
        <v>11811.182235954577</v>
      </c>
      <c r="AC50" s="51">
        <f t="shared" si="20"/>
        <v>16526.39524280644</v>
      </c>
      <c r="AD50" s="51">
        <f t="shared" si="29"/>
        <v>90.75828707279838</v>
      </c>
      <c r="AE50" s="51">
        <f t="shared" si="21"/>
        <v>208.55360661503482</v>
      </c>
      <c r="AF50" s="51">
        <f t="shared" si="30"/>
        <v>86.0749752229502</v>
      </c>
      <c r="AG50" s="51">
        <f t="shared" si="31"/>
        <v>61.51657414559676</v>
      </c>
      <c r="AH50" s="48">
        <f t="shared" si="22"/>
        <v>43.19999999999999</v>
      </c>
      <c r="AI50" s="48">
        <f t="shared" si="23"/>
        <v>-33.60000000000002</v>
      </c>
      <c r="AJ50" s="40">
        <f t="shared" si="32"/>
        <v>-3516.7822359545808</v>
      </c>
      <c r="AK50" s="40">
        <f t="shared" si="33"/>
        <v>192</v>
      </c>
      <c r="AL50" s="40">
        <f t="shared" si="34"/>
        <v>-100000</v>
      </c>
      <c r="AM50" s="40">
        <f t="shared" si="24"/>
        <v>-100000</v>
      </c>
      <c r="AN50" s="40">
        <f t="shared" si="35"/>
        <v>-8231.99524280644</v>
      </c>
      <c r="AO50" s="40">
        <f t="shared" si="36"/>
        <v>192</v>
      </c>
      <c r="AP50" s="40">
        <f t="shared" si="37"/>
        <v>-100000</v>
      </c>
      <c r="AQ50" s="40">
        <f t="shared" si="25"/>
        <v>-100000</v>
      </c>
      <c r="AR50" s="40">
        <f t="shared" si="26"/>
        <v>-100000</v>
      </c>
      <c r="AS50" s="41">
        <f t="shared" si="27"/>
        <v>-100000</v>
      </c>
      <c r="AT50" s="35"/>
      <c r="AU50" s="32"/>
      <c r="AV50" s="32"/>
      <c r="AW50" s="32"/>
      <c r="AX50" s="32"/>
      <c r="AY50" s="32"/>
      <c r="AZ50" s="32"/>
      <c r="BA50" s="32"/>
      <c r="BB50" s="32"/>
      <c r="BC50" s="32"/>
      <c r="BD50" s="32"/>
    </row>
    <row r="51" spans="1:56" ht="13.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9">
        <f t="shared" si="28"/>
        <v>196</v>
      </c>
      <c r="AB51" s="51">
        <f t="shared" si="19"/>
        <v>12177.326891332941</v>
      </c>
      <c r="AC51" s="51">
        <f t="shared" si="20"/>
        <v>17378.10982722907</v>
      </c>
      <c r="AD51" s="51">
        <f t="shared" si="29"/>
        <v>92.31460941666566</v>
      </c>
      <c r="AE51" s="51">
        <f t="shared" si="21"/>
        <v>217.3338582824213</v>
      </c>
      <c r="AF51" s="51">
        <f t="shared" si="30"/>
        <v>88.6638256491279</v>
      </c>
      <c r="AG51" s="51">
        <f t="shared" si="31"/>
        <v>62.12921883333133</v>
      </c>
      <c r="AH51" s="48">
        <f t="shared" si="22"/>
        <v>41.599999999999994</v>
      </c>
      <c r="AI51" s="48">
        <f t="shared" si="23"/>
        <v>-36.80000000000001</v>
      </c>
      <c r="AJ51" s="40">
        <f t="shared" si="32"/>
        <v>-4023.7268913329417</v>
      </c>
      <c r="AK51" s="40">
        <f t="shared" si="33"/>
        <v>196</v>
      </c>
      <c r="AL51" s="40">
        <f t="shared" si="34"/>
        <v>-100000</v>
      </c>
      <c r="AM51" s="40">
        <f t="shared" si="24"/>
        <v>-100000</v>
      </c>
      <c r="AN51" s="40">
        <f t="shared" si="35"/>
        <v>-9224.509827229069</v>
      </c>
      <c r="AO51" s="40">
        <f t="shared" si="36"/>
        <v>196</v>
      </c>
      <c r="AP51" s="40">
        <f t="shared" si="37"/>
        <v>-100000</v>
      </c>
      <c r="AQ51" s="40">
        <f t="shared" si="25"/>
        <v>-100000</v>
      </c>
      <c r="AR51" s="40">
        <f t="shared" si="26"/>
        <v>-100000</v>
      </c>
      <c r="AS51" s="41">
        <f t="shared" si="27"/>
        <v>-100000</v>
      </c>
      <c r="AT51" s="35"/>
      <c r="AU51" s="32"/>
      <c r="AV51" s="32"/>
      <c r="AW51" s="32"/>
      <c r="AX51" s="32"/>
      <c r="AY51" s="32"/>
      <c r="AZ51" s="32"/>
      <c r="BA51" s="32"/>
      <c r="BB51" s="32"/>
      <c r="BC51" s="32"/>
      <c r="BD51" s="32"/>
    </row>
    <row r="52" spans="1:56" ht="13.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9">
        <f t="shared" si="28"/>
        <v>200</v>
      </c>
      <c r="AB52" s="51">
        <f t="shared" si="19"/>
        <v>12549.703546891173</v>
      </c>
      <c r="AC52" s="51">
        <f t="shared" si="20"/>
        <v>18265.307490554947</v>
      </c>
      <c r="AD52" s="51">
        <f t="shared" si="29"/>
        <v>93.87425886722794</v>
      </c>
      <c r="AE52" s="51">
        <f t="shared" si="21"/>
        <v>226.29514606666106</v>
      </c>
      <c r="AF52" s="51">
        <f t="shared" si="30"/>
        <v>91.32653745277474</v>
      </c>
      <c r="AG52" s="51">
        <f t="shared" si="31"/>
        <v>62.748517734455866</v>
      </c>
      <c r="AH52" s="48">
        <f t="shared" si="22"/>
        <v>40</v>
      </c>
      <c r="AI52" s="48">
        <f t="shared" si="23"/>
        <v>-40</v>
      </c>
      <c r="AJ52" s="40">
        <f t="shared" si="32"/>
        <v>-4549.703546891174</v>
      </c>
      <c r="AK52" s="40">
        <f t="shared" si="33"/>
        <v>200</v>
      </c>
      <c r="AL52" s="40">
        <f t="shared" si="34"/>
        <v>-100000</v>
      </c>
      <c r="AM52" s="40">
        <f t="shared" si="24"/>
        <v>-100000</v>
      </c>
      <c r="AN52" s="40">
        <f t="shared" si="35"/>
        <v>-10265.30749055495</v>
      </c>
      <c r="AO52" s="40">
        <f t="shared" si="36"/>
        <v>200</v>
      </c>
      <c r="AP52" s="40">
        <f t="shared" si="37"/>
        <v>-100000</v>
      </c>
      <c r="AQ52" s="40">
        <f t="shared" si="25"/>
        <v>-100000</v>
      </c>
      <c r="AR52" s="40">
        <f t="shared" si="26"/>
        <v>-100000</v>
      </c>
      <c r="AS52" s="41">
        <f t="shared" si="27"/>
        <v>-100000</v>
      </c>
      <c r="AT52" s="35"/>
      <c r="AU52" s="32"/>
      <c r="AV52" s="32"/>
      <c r="AW52" s="32"/>
      <c r="AX52" s="32"/>
      <c r="AY52" s="32"/>
      <c r="AZ52" s="32"/>
      <c r="BA52" s="32"/>
      <c r="BB52" s="32"/>
      <c r="BC52" s="32"/>
      <c r="BD52" s="32"/>
    </row>
    <row r="53" spans="1:56" ht="13.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9">
        <f t="shared" si="28"/>
        <v>204</v>
      </c>
      <c r="AB53" s="51">
        <f t="shared" si="19"/>
        <v>12928.325179379017</v>
      </c>
      <c r="AC53" s="51">
        <f t="shared" si="20"/>
        <v>19188.712377251493</v>
      </c>
      <c r="AD53" s="51">
        <f t="shared" si="29"/>
        <v>95.43707151808582</v>
      </c>
      <c r="AE53" s="51">
        <f t="shared" si="21"/>
        <v>235.43746996775417</v>
      </c>
      <c r="AF53" s="51">
        <f t="shared" si="30"/>
        <v>94.06231557476224</v>
      </c>
      <c r="AG53" s="51">
        <f t="shared" si="31"/>
        <v>63.374143036171645</v>
      </c>
      <c r="AH53" s="48">
        <f t="shared" si="22"/>
        <v>38.39999999999999</v>
      </c>
      <c r="AI53" s="48">
        <f t="shared" si="23"/>
        <v>-43.20000000000002</v>
      </c>
      <c r="AJ53" s="40">
        <f t="shared" si="32"/>
        <v>-5094.725179379017</v>
      </c>
      <c r="AK53" s="40">
        <f t="shared" si="33"/>
        <v>204</v>
      </c>
      <c r="AL53" s="40">
        <f t="shared" si="34"/>
        <v>-100000</v>
      </c>
      <c r="AM53" s="40">
        <f t="shared" si="24"/>
        <v>-100000</v>
      </c>
      <c r="AN53" s="40">
        <f t="shared" si="35"/>
        <v>-11355.112377251498</v>
      </c>
      <c r="AO53" s="40">
        <f t="shared" si="36"/>
        <v>204</v>
      </c>
      <c r="AP53" s="40">
        <f t="shared" si="37"/>
        <v>-100000</v>
      </c>
      <c r="AQ53" s="40">
        <f t="shared" si="25"/>
        <v>-100000</v>
      </c>
      <c r="AR53" s="40">
        <f t="shared" si="26"/>
        <v>-100000</v>
      </c>
      <c r="AS53" s="41">
        <f t="shared" si="27"/>
        <v>-100000</v>
      </c>
      <c r="AT53" s="35"/>
      <c r="AU53" s="32"/>
      <c r="AV53" s="32"/>
      <c r="AW53" s="32"/>
      <c r="AX53" s="32"/>
      <c r="AY53" s="32"/>
      <c r="AZ53" s="32"/>
      <c r="BA53" s="32"/>
      <c r="BB53" s="32"/>
      <c r="BC53" s="32"/>
      <c r="BD53" s="32"/>
    </row>
    <row r="54" spans="1:56" ht="13.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9">
        <f t="shared" si="28"/>
        <v>208</v>
      </c>
      <c r="AB54" s="51">
        <f t="shared" si="19"/>
        <v>13313.204132425893</v>
      </c>
      <c r="AC54" s="51">
        <f t="shared" si="20"/>
        <v>20149.04863178612</v>
      </c>
      <c r="AD54" s="51">
        <f t="shared" si="29"/>
        <v>97.00289454910072</v>
      </c>
      <c r="AE54" s="51">
        <f t="shared" si="21"/>
        <v>244.7608299857006</v>
      </c>
      <c r="AF54" s="51">
        <f t="shared" si="30"/>
        <v>96.87042611435635</v>
      </c>
      <c r="AG54" s="51">
        <f t="shared" si="31"/>
        <v>64.0057890982014</v>
      </c>
      <c r="AH54" s="48">
        <f t="shared" si="22"/>
        <v>36.8</v>
      </c>
      <c r="AI54" s="48">
        <f t="shared" si="23"/>
        <v>-46.400000000000006</v>
      </c>
      <c r="AJ54" s="40">
        <f t="shared" si="32"/>
        <v>-5658.804132425893</v>
      </c>
      <c r="AK54" s="40">
        <f t="shared" si="33"/>
        <v>208</v>
      </c>
      <c r="AL54" s="40">
        <f t="shared" si="34"/>
        <v>-100000</v>
      </c>
      <c r="AM54" s="40">
        <f t="shared" si="24"/>
        <v>-100000</v>
      </c>
      <c r="AN54" s="40">
        <f t="shared" si="35"/>
        <v>-12494.648631786122</v>
      </c>
      <c r="AO54" s="40">
        <f t="shared" si="36"/>
        <v>208</v>
      </c>
      <c r="AP54" s="40">
        <f t="shared" si="37"/>
        <v>-100000</v>
      </c>
      <c r="AQ54" s="40">
        <f t="shared" si="25"/>
        <v>-100000</v>
      </c>
      <c r="AR54" s="40">
        <f t="shared" si="26"/>
        <v>-100000</v>
      </c>
      <c r="AS54" s="41">
        <f t="shared" si="27"/>
        <v>-100000</v>
      </c>
      <c r="AT54" s="35"/>
      <c r="AU54" s="32"/>
      <c r="AV54" s="32"/>
      <c r="AW54" s="32"/>
      <c r="AX54" s="32"/>
      <c r="AY54" s="32"/>
      <c r="AZ54" s="32"/>
      <c r="BA54" s="32"/>
      <c r="BB54" s="32"/>
      <c r="BC54" s="32"/>
      <c r="BD54" s="32"/>
    </row>
    <row r="55" spans="1:56" ht="13.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9">
        <f t="shared" si="28"/>
        <v>212</v>
      </c>
      <c r="AB55" s="51">
        <f t="shared" si="19"/>
        <v>13704.352158959922</v>
      </c>
      <c r="AC55" s="51">
        <f t="shared" si="20"/>
        <v>21147.04039862624</v>
      </c>
      <c r="AD55" s="51">
        <f t="shared" si="29"/>
        <v>98.57158528056587</v>
      </c>
      <c r="AE55" s="51">
        <f t="shared" si="21"/>
        <v>254.26522612050036</v>
      </c>
      <c r="AF55" s="51">
        <f t="shared" si="30"/>
        <v>99.75019055955772</v>
      </c>
      <c r="AG55" s="51">
        <f t="shared" si="31"/>
        <v>64.64317056113171</v>
      </c>
      <c r="AH55" s="48">
        <f t="shared" si="22"/>
        <v>35.19999999999999</v>
      </c>
      <c r="AI55" s="48">
        <f t="shared" si="23"/>
        <v>-49.60000000000002</v>
      </c>
      <c r="AJ55" s="40">
        <f t="shared" si="32"/>
        <v>-6241.952158959925</v>
      </c>
      <c r="AK55" s="40">
        <f t="shared" si="33"/>
        <v>212</v>
      </c>
      <c r="AL55" s="40">
        <f t="shared" si="34"/>
        <v>-100000</v>
      </c>
      <c r="AM55" s="40">
        <f t="shared" si="24"/>
        <v>-100000</v>
      </c>
      <c r="AN55" s="40">
        <f t="shared" si="35"/>
        <v>-13684.64039862624</v>
      </c>
      <c r="AO55" s="40">
        <f t="shared" si="36"/>
        <v>212</v>
      </c>
      <c r="AP55" s="40">
        <f t="shared" si="37"/>
        <v>-100000</v>
      </c>
      <c r="AQ55" s="40">
        <f t="shared" si="25"/>
        <v>-100000</v>
      </c>
      <c r="AR55" s="40">
        <f t="shared" si="26"/>
        <v>-100000</v>
      </c>
      <c r="AS55" s="41">
        <f t="shared" si="27"/>
        <v>-100000</v>
      </c>
      <c r="AT55" s="35"/>
      <c r="AU55" s="32"/>
      <c r="AV55" s="32"/>
      <c r="AW55" s="32"/>
      <c r="AX55" s="32"/>
      <c r="AY55" s="32"/>
      <c r="AZ55" s="32"/>
      <c r="BA55" s="32"/>
      <c r="BB55" s="32"/>
      <c r="BC55" s="32"/>
      <c r="BD55" s="32"/>
    </row>
    <row r="56" spans="1:56" ht="13.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52"/>
      <c r="AB56" s="51"/>
      <c r="AC56" s="51"/>
      <c r="AD56" s="51"/>
      <c r="AE56" s="51"/>
      <c r="AF56" s="51"/>
      <c r="AG56" s="51"/>
      <c r="AH56" s="51"/>
      <c r="AI56" s="51"/>
      <c r="AJ56" s="51">
        <f>MAX(AJ2:AJ55)</f>
        <v>3055.0797957441073</v>
      </c>
      <c r="AK56" s="51"/>
      <c r="AL56" s="51"/>
      <c r="AM56" s="51"/>
      <c r="AN56" s="51">
        <f>MAX(AN2:AN55)</f>
        <v>3006.991291386153</v>
      </c>
      <c r="AO56" s="51"/>
      <c r="AP56" s="51"/>
      <c r="AQ56" s="51"/>
      <c r="AR56" s="51"/>
      <c r="AS56" s="53"/>
      <c r="AT56" s="35"/>
      <c r="AU56" s="32"/>
      <c r="AV56" s="32"/>
      <c r="AW56" s="32"/>
      <c r="AX56" s="32"/>
      <c r="AY56" s="32"/>
      <c r="AZ56" s="32"/>
      <c r="BA56" s="32"/>
      <c r="BB56" s="32"/>
      <c r="BC56" s="32"/>
      <c r="BD56" s="32"/>
    </row>
    <row r="57" spans="1:56" ht="13.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2"/>
      <c r="AV57" s="32"/>
      <c r="AW57" s="32"/>
      <c r="AX57" s="32"/>
      <c r="AY57" s="32"/>
      <c r="AZ57" s="32"/>
      <c r="BA57" s="32"/>
      <c r="BB57" s="32"/>
      <c r="BC57" s="32"/>
      <c r="BD57" s="32"/>
    </row>
    <row r="58" spans="1:56" ht="13.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2"/>
      <c r="AV58" s="32"/>
      <c r="AW58" s="32"/>
      <c r="AX58" s="32"/>
      <c r="AY58" s="32"/>
      <c r="AZ58" s="32"/>
      <c r="BA58" s="32"/>
      <c r="BB58" s="32"/>
      <c r="BC58" s="32"/>
      <c r="BD58" s="32"/>
    </row>
    <row r="59" spans="1:56" ht="13.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2"/>
      <c r="AV59" s="32"/>
      <c r="AW59" s="32"/>
      <c r="AX59" s="32"/>
      <c r="AY59" s="32"/>
      <c r="AZ59" s="32"/>
      <c r="BA59" s="32"/>
      <c r="BB59" s="32"/>
      <c r="BC59" s="32"/>
      <c r="BD59" s="32"/>
    </row>
    <row r="60" spans="1:56" ht="13.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2"/>
      <c r="AV60" s="32"/>
      <c r="AW60" s="32"/>
      <c r="AX60" s="32"/>
      <c r="AY60" s="32"/>
      <c r="AZ60" s="32"/>
      <c r="BA60" s="32"/>
      <c r="BB60" s="32"/>
      <c r="BC60" s="32"/>
      <c r="BD60" s="32"/>
    </row>
    <row r="61" spans="1:56" ht="13.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2"/>
      <c r="AV61" s="32"/>
      <c r="AW61" s="32"/>
      <c r="AX61" s="32"/>
      <c r="AY61" s="32"/>
      <c r="AZ61" s="32"/>
      <c r="BA61" s="32"/>
      <c r="BB61" s="32"/>
      <c r="BC61" s="32"/>
      <c r="BD61" s="32"/>
    </row>
    <row r="62" spans="1:56" ht="13.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2"/>
      <c r="AV62" s="32"/>
      <c r="AW62" s="32"/>
      <c r="AX62" s="32"/>
      <c r="AY62" s="32"/>
      <c r="AZ62" s="32"/>
      <c r="BA62" s="32"/>
      <c r="BB62" s="32"/>
      <c r="BC62" s="32"/>
      <c r="BD62" s="32"/>
    </row>
    <row r="63" spans="1:56" ht="13.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2"/>
      <c r="AV63" s="32"/>
      <c r="AW63" s="32"/>
      <c r="AX63" s="32"/>
      <c r="AY63" s="32"/>
      <c r="AZ63" s="32"/>
      <c r="BA63" s="32"/>
      <c r="BB63" s="32"/>
      <c r="BC63" s="32"/>
      <c r="BD63" s="32"/>
    </row>
    <row r="64" spans="1:56" ht="13.5" customHeight="1">
      <c r="A64" s="32"/>
      <c r="B64" s="32"/>
      <c r="C64" s="32"/>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2"/>
      <c r="AV64" s="32"/>
      <c r="AW64" s="32"/>
      <c r="AX64" s="32"/>
      <c r="AY64" s="32"/>
      <c r="AZ64" s="32"/>
      <c r="BA64" s="32"/>
      <c r="BB64" s="32"/>
      <c r="BC64" s="32"/>
      <c r="BD64" s="32"/>
    </row>
    <row r="65" spans="1:56" ht="13.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row>
    <row r="66" spans="1:56" ht="13.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row>
    <row r="67" spans="1:56" ht="13.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row>
    <row r="68" spans="1:56" ht="13.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row>
    <row r="69" spans="1:56" ht="13.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row>
    <row r="70" spans="1:56" ht="13.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row>
    <row r="71" spans="1:56" ht="13.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row>
    <row r="72" spans="1:56" ht="13.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row>
    <row r="73" spans="1:56" ht="13.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row>
    <row r="74" spans="1:56" ht="13.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row>
    <row r="75" spans="1:56" ht="13.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row>
    <row r="76" spans="1:56" ht="13.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row>
    <row r="77" spans="1:56" ht="13.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row>
    <row r="78" spans="1:56"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row>
    <row r="79" spans="1:56"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row>
    <row r="80" spans="1:56" ht="13.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row>
    <row r="81" spans="1:56" ht="13.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row>
    <row r="82" spans="1:56" ht="13.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row>
    <row r="83" spans="1:56" ht="13.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row>
    <row r="84" spans="1:56" ht="13.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row>
    <row r="85" spans="1:56" ht="13.5" customHeight="1">
      <c r="A85" s="29" t="s">
        <v>29</v>
      </c>
      <c r="B85" s="29" t="s">
        <v>10</v>
      </c>
      <c r="C85" s="29" t="s">
        <v>26</v>
      </c>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row>
    <row r="86" spans="1:56" ht="13.5" customHeight="1">
      <c r="A86" s="29">
        <v>0</v>
      </c>
      <c r="B86" s="30"/>
      <c r="C86" s="30"/>
      <c r="D86" s="29" t="s">
        <v>7</v>
      </c>
      <c r="E86" s="29" t="s">
        <v>9</v>
      </c>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row>
    <row r="87" spans="1:56" ht="13.5" customHeight="1">
      <c r="A87" s="29"/>
      <c r="B87" s="30"/>
      <c r="C87" s="30"/>
      <c r="D87" s="30"/>
      <c r="E87" s="30"/>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row>
    <row r="88" spans="1:56" ht="13.5" customHeight="1">
      <c r="A88" s="29">
        <f>A86+6*C$7</f>
        <v>24</v>
      </c>
      <c r="B88" s="30">
        <f>AU12/A88</f>
        <v>65.85806194501845</v>
      </c>
      <c r="C88" s="30">
        <f>2*AV$1*A88+0.5*AV$2*A88^-0.5</f>
        <v>40.42903097250923</v>
      </c>
      <c r="D88" s="30">
        <f>(AU12-AU10)/(A88-A86)</f>
        <v>65.85806194501845</v>
      </c>
      <c r="E88" s="30"/>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row>
    <row r="89" spans="1:56" ht="13.5" customHeight="1">
      <c r="A89" s="29"/>
      <c r="B89" s="30"/>
      <c r="C89" s="30"/>
      <c r="D89" s="30"/>
      <c r="E89" s="30">
        <f>AV$6*A88^2+AV$7/A88</f>
        <v>133.54306751129542</v>
      </c>
      <c r="F89" s="29" t="s">
        <v>61</v>
      </c>
      <c r="G89" s="29" t="s">
        <v>8</v>
      </c>
      <c r="H89" s="33"/>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row>
    <row r="90" spans="1:56" ht="13.5" customHeight="1">
      <c r="A90" s="29">
        <f>A88+6*C$7</f>
        <v>48</v>
      </c>
      <c r="B90" s="30">
        <f>AU14/A90</f>
        <v>53.03314829119352</v>
      </c>
      <c r="C90" s="30">
        <f>2*AV$1*A90+0.5*AV$2*A90^-0.5</f>
        <v>41.51657414559676</v>
      </c>
      <c r="D90" s="30">
        <f>(AU14-AU12)/(A90-A88)</f>
        <v>40.208234637368584</v>
      </c>
      <c r="E90" s="30"/>
      <c r="F90" s="30">
        <f>AV$6*3*A86^2</f>
        <v>0</v>
      </c>
      <c r="G90" s="30"/>
      <c r="H90" s="33"/>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row>
    <row r="91" spans="1:56" ht="13.5" customHeight="1">
      <c r="A91" s="29"/>
      <c r="B91" s="30"/>
      <c r="C91" s="30"/>
      <c r="D91" s="30"/>
      <c r="E91" s="30">
        <f>AV$6*A90^2+AV$7/A90</f>
        <v>70.57329220956761</v>
      </c>
      <c r="F91" s="30"/>
      <c r="G91" s="30">
        <f>(AV12-AV10)/(A88-A86)</f>
        <v>1.0862167011199706</v>
      </c>
      <c r="H91" s="33"/>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row>
    <row r="92" spans="1:56" ht="13.5" customHeight="1">
      <c r="A92" s="29">
        <f>A90+6*C$7</f>
        <v>72</v>
      </c>
      <c r="B92" s="30">
        <f>AU16/A92</f>
        <v>50.136418446315325</v>
      </c>
      <c r="C92" s="30">
        <f>2*AV$1*A92+0.5*AV$2*A92^-0.5</f>
        <v>47.568209223157666</v>
      </c>
      <c r="D92" s="30">
        <f>(AU16-AU14)/(A92-A90)</f>
        <v>44.342958756558936</v>
      </c>
      <c r="E92" s="30"/>
      <c r="F92" s="30">
        <f>AV$6*3*A88^2</f>
        <v>3.258650103359919</v>
      </c>
      <c r="G92" s="30"/>
      <c r="H92" s="33"/>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row>
    <row r="93" spans="1:56" ht="13.5" customHeight="1">
      <c r="A93" s="29"/>
      <c r="B93" s="30"/>
      <c r="C93" s="30"/>
      <c r="D93" s="30"/>
      <c r="E93" s="30">
        <f>AV$6*A92^2+AV$7/A92</f>
        <v>53.92823391347157</v>
      </c>
      <c r="F93" s="30"/>
      <c r="G93" s="30">
        <f>(AV14-AV12)/(A90-A88)</f>
        <v>7.603516907839814</v>
      </c>
      <c r="H93" s="33"/>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row>
    <row r="94" spans="1:56" ht="13.5" customHeight="1">
      <c r="A94" s="29">
        <f>A92+6*C$7</f>
        <v>96</v>
      </c>
      <c r="B94" s="30">
        <f>AU18/A94</f>
        <v>50.429030972509224</v>
      </c>
      <c r="C94" s="30">
        <f>2*AV$1*A94+0.5*AV$2*A94^-0.5</f>
        <v>55.21451548625461</v>
      </c>
      <c r="D94" s="30">
        <f>(AU18-AU16)/(A94-A92)</f>
        <v>51.30686855109093</v>
      </c>
      <c r="E94" s="30"/>
      <c r="F94" s="30">
        <f>AV$6*3*A90^2</f>
        <v>13.034600413439676</v>
      </c>
      <c r="G94" s="30"/>
      <c r="H94" s="33"/>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row>
    <row r="95" spans="1:56" ht="13.5" customHeight="1">
      <c r="A95" s="29"/>
      <c r="B95" s="30"/>
      <c r="C95" s="30"/>
      <c r="D95" s="30"/>
      <c r="E95" s="30">
        <f>AV$6*A94^2+AV$7/A94</f>
        <v>50.49367992046343</v>
      </c>
      <c r="F95" s="30"/>
      <c r="G95" s="30">
        <f>(AV16-AV14)/(A92-A90)</f>
        <v>20.63811732127948</v>
      </c>
      <c r="H95" s="33"/>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row>
    <row r="96" spans="1:56" ht="13.5" customHeight="1">
      <c r="A96" s="29">
        <f>A94+6*C$7</f>
        <v>120</v>
      </c>
      <c r="B96" s="30">
        <f>AU20/A96</f>
        <v>52.21655269759086</v>
      </c>
      <c r="C96" s="30">
        <f>2*AV$1*A96+0.5*AV$2*A96^-0.5</f>
        <v>63.60827634879543</v>
      </c>
      <c r="D96" s="30">
        <f>(AU20-AU18)/(A96-A94)</f>
        <v>59.366639597917434</v>
      </c>
      <c r="E96" s="30"/>
      <c r="F96" s="30">
        <f>AV$6*3*A92^2</f>
        <v>29.327850930239272</v>
      </c>
      <c r="G96" s="30"/>
      <c r="H96" s="33"/>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row>
    <row r="97" spans="1:56" ht="13.5" customHeight="1">
      <c r="A97" s="29"/>
      <c r="B97" s="30"/>
      <c r="C97" s="30"/>
      <c r="D97" s="30"/>
      <c r="E97" s="30">
        <f>AV$6*A96^2+AV$7/A96</f>
        <v>53.646787690034415</v>
      </c>
      <c r="F97" s="30"/>
      <c r="G97" s="30">
        <f>(AV18-AV16)/(A94-A92)</f>
        <v>40.19001794143901</v>
      </c>
      <c r="H97" s="33"/>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row>
    <row r="98" spans="1:56" ht="13.5" customHeight="1">
      <c r="A98" s="29">
        <f>A96+6*C$7</f>
        <v>144</v>
      </c>
      <c r="B98" s="30">
        <f>AU22/A98</f>
        <v>54.84519974999766</v>
      </c>
      <c r="C98" s="30">
        <f>2*AV$1*A98+0.5*AV$2*A98^-0.5</f>
        <v>72.42259987499884</v>
      </c>
      <c r="D98" s="30">
        <f>(AU22-AU20)/(A98-A96)</f>
        <v>67.98843501203164</v>
      </c>
      <c r="E98" s="30"/>
      <c r="F98" s="30">
        <f>AV$6*3*A94^2</f>
        <v>52.138401653758706</v>
      </c>
      <c r="G98" s="30"/>
      <c r="H98" s="33"/>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row>
    <row r="99" spans="1:56" ht="13.5" customHeight="1">
      <c r="A99" s="29"/>
      <c r="B99" s="30"/>
      <c r="C99" s="30"/>
      <c r="D99" s="30"/>
      <c r="E99" s="30">
        <f>AV$6*A98^2+AV$7/A98</f>
        <v>61.17994304201494</v>
      </c>
      <c r="F99" s="30"/>
      <c r="G99" s="30">
        <f>(AV20-AV18)/(A96-A94)</f>
        <v>66.25921876831835</v>
      </c>
      <c r="H99" s="33"/>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row>
    <row r="100" spans="1:56" ht="13.5" customHeight="1">
      <c r="A100" s="29">
        <f>A98+6*C$7</f>
        <v>168</v>
      </c>
      <c r="B100" s="30">
        <f>AU24/A100</f>
        <v>58.00218531141181</v>
      </c>
      <c r="C100" s="30">
        <f>2*AV$1*A100+0.5*AV$2*A100^-0.5</f>
        <v>81.5010926557059</v>
      </c>
      <c r="D100" s="30">
        <f>(AU24-AU22)/(A100-A98)</f>
        <v>76.94409867989668</v>
      </c>
      <c r="E100" s="30"/>
      <c r="F100" s="30">
        <f>AV$6*3*A96^2</f>
        <v>81.46625258399798</v>
      </c>
      <c r="G100" s="30"/>
      <c r="H100" s="33"/>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row>
    <row r="101" spans="1:56" ht="13.5" customHeight="1">
      <c r="A101" s="24"/>
      <c r="B101" s="24"/>
      <c r="C101" s="24"/>
      <c r="D101" s="30"/>
      <c r="E101" s="30">
        <f>AV$6*A100^2+AV$7/A100</f>
        <v>72.14702561347517</v>
      </c>
      <c r="F101" s="30"/>
      <c r="G101" s="30">
        <f>(AV22-AV20)/(A98-A96)</f>
        <v>98.84571980191754</v>
      </c>
      <c r="H101" s="33"/>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row>
    <row r="102" spans="1:56" ht="13.5" customHeight="1">
      <c r="A102" s="23" t="s">
        <v>27</v>
      </c>
      <c r="B102" s="23"/>
      <c r="C102" s="23"/>
      <c r="D102" s="24"/>
      <c r="E102" s="24"/>
      <c r="F102" s="30">
        <f>AV$6*3*A98^2</f>
        <v>117.31140372095709</v>
      </c>
      <c r="G102" s="30"/>
      <c r="H102" s="33"/>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row>
    <row r="103" spans="1:56" ht="13.5" customHeight="1">
      <c r="A103" s="23" t="s">
        <v>35</v>
      </c>
      <c r="B103" s="23"/>
      <c r="C103" s="23"/>
      <c r="D103" s="23"/>
      <c r="E103" s="23"/>
      <c r="F103" s="30"/>
      <c r="G103" s="30">
        <f>(AV24-AV22)/(A100-A98)</f>
        <v>137.94952104223663</v>
      </c>
      <c r="H103" s="33"/>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row>
    <row r="104" spans="1:56" ht="13.5" customHeight="1">
      <c r="A104" s="32"/>
      <c r="B104" s="32"/>
      <c r="C104" s="32"/>
      <c r="D104" s="23"/>
      <c r="E104" s="23"/>
      <c r="F104" s="30">
        <f>AV$6*3*A100^2</f>
        <v>159.67385506463606</v>
      </c>
      <c r="G104" s="30"/>
      <c r="H104" s="33"/>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row>
    <row r="105" spans="1:56" ht="13.5" customHeight="1">
      <c r="A105" s="32"/>
      <c r="B105" s="32"/>
      <c r="C105" s="32"/>
      <c r="D105" s="32"/>
      <c r="E105" s="32"/>
      <c r="F105" s="24"/>
      <c r="G105" s="24"/>
      <c r="H105" s="33"/>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row>
    <row r="106" spans="1:56" ht="13.5" customHeight="1">
      <c r="A106" s="32"/>
      <c r="B106" s="32"/>
      <c r="C106" s="32"/>
      <c r="D106" s="32"/>
      <c r="E106" s="32"/>
      <c r="F106" s="23"/>
      <c r="G106" s="23"/>
      <c r="H106" s="23"/>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row>
    <row r="107" spans="1:56" ht="13.5" customHeight="1">
      <c r="A107" s="32"/>
      <c r="B107" s="32"/>
      <c r="C107" s="32"/>
      <c r="D107" s="32"/>
      <c r="E107" s="32"/>
      <c r="F107" s="23"/>
      <c r="G107" s="23"/>
      <c r="H107" s="23"/>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row>
    <row r="108" spans="1:56" ht="13.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row>
    <row r="109" spans="1:56" ht="13.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row>
    <row r="110" spans="1:56" ht="13.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row>
    <row r="111" spans="1:56" ht="13.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row>
    <row r="112" spans="1:56" ht="13.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row>
    <row r="113" spans="1:56" ht="13.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row>
    <row r="114" spans="1:56" ht="13.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row>
    <row r="115" spans="1:56" ht="13.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row>
    <row r="116" spans="1:56" ht="13.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row>
    <row r="117" spans="1:56" ht="13.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row>
    <row r="118" spans="1:56" ht="13.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row>
    <row r="119" spans="1:56" ht="13.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row>
    <row r="120" spans="1:56" ht="13.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row>
    <row r="121" spans="1:56" ht="13.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row>
    <row r="122" spans="1:56" ht="13.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row>
    <row r="123" spans="1:56" ht="13.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row>
    <row r="124" spans="1:56" ht="13.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row>
    <row r="125" spans="1:56" ht="13.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row>
    <row r="126" spans="1:56" ht="13.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row>
    <row r="127" spans="1:56" ht="13.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row>
    <row r="128" spans="1:56" ht="13.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row>
    <row r="129" spans="1:56" ht="13.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row>
    <row r="130" spans="1:56" ht="13.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row>
    <row r="131" spans="1:56" ht="13.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row>
    <row r="132" spans="1:56" ht="13.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row>
    <row r="133" spans="1:56" ht="13.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row>
    <row r="134" spans="1:56" ht="13.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row>
    <row r="135" spans="1:56" ht="13.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row>
    <row r="136" spans="1:56" ht="13.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row>
    <row r="137" spans="1:56" ht="13.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row>
    <row r="138" spans="1:56" ht="13.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row>
    <row r="139" spans="1:56" ht="13.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row>
    <row r="140" spans="1:56" ht="13.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row>
    <row r="141" spans="1:56" ht="13.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row>
    <row r="142" spans="1:56" ht="13.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row>
    <row r="143" spans="1:56" ht="13.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row>
    <row r="144" spans="1:56" ht="13.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row>
    <row r="145" spans="1:56" ht="13.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row>
    <row r="146" spans="1:56" ht="13.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row>
    <row r="147" spans="4:56" ht="13.5" customHeight="1">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row>
    <row r="148" spans="6:56" ht="13.5" customHeight="1">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row>
    <row r="149" spans="6:56" ht="13.5" customHeight="1">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row>
    <row r="150" spans="6:56" ht="13.5" customHeight="1">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row>
  </sheetData>
  <mergeCells count="19">
    <mergeCell ref="A1:F1"/>
    <mergeCell ref="A17:B17"/>
    <mergeCell ref="A18:B18"/>
    <mergeCell ref="AW1:AX1"/>
    <mergeCell ref="AU4:AX4"/>
    <mergeCell ref="AW5:AX5"/>
    <mergeCell ref="AW6:AX6"/>
    <mergeCell ref="A12:B12"/>
    <mergeCell ref="A13:B13"/>
    <mergeCell ref="A14:B14"/>
    <mergeCell ref="A15:B15"/>
    <mergeCell ref="A7:B7"/>
    <mergeCell ref="A11:B11"/>
    <mergeCell ref="A16:B16"/>
    <mergeCell ref="A3:B3"/>
    <mergeCell ref="A4:B4"/>
    <mergeCell ref="A5:B5"/>
    <mergeCell ref="A10:B10"/>
    <mergeCell ref="A6:B6"/>
  </mergeCells>
  <printOptions/>
  <pageMargins left="0.25" right="0" top="1" bottom="1" header="0.5" footer="0.5"/>
  <pageSetup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codeName="Sheet41"/>
  <dimension ref="A1:AS75"/>
  <sheetViews>
    <sheetView workbookViewId="0" topLeftCell="A1">
      <selection activeCell="A1" sqref="A1:F1"/>
    </sheetView>
  </sheetViews>
  <sheetFormatPr defaultColWidth="9.140625" defaultRowHeight="15"/>
  <cols>
    <col min="1" max="1" width="10.8515625" style="0" customWidth="1"/>
    <col min="2" max="3" width="9.8515625" style="0" bestFit="1" customWidth="1"/>
    <col min="31" max="31" width="10.140625" style="0" bestFit="1" customWidth="1"/>
    <col min="33" max="33" width="11.00390625" style="0" bestFit="1" customWidth="1"/>
  </cols>
  <sheetData>
    <row r="1" spans="1:45" s="2" customFormat="1" ht="18" customHeight="1">
      <c r="A1" s="84" t="s">
        <v>87</v>
      </c>
      <c r="B1" s="84"/>
      <c r="C1" s="84"/>
      <c r="D1" s="84"/>
      <c r="E1" s="84"/>
      <c r="F1" s="84"/>
      <c r="G1" s="36"/>
      <c r="H1" s="36"/>
      <c r="I1" s="36"/>
      <c r="J1" s="36"/>
      <c r="K1" s="36"/>
      <c r="L1" s="36"/>
      <c r="M1" s="36"/>
      <c r="N1" s="36"/>
      <c r="O1" s="36"/>
      <c r="P1" s="36"/>
      <c r="Q1" s="36"/>
      <c r="R1" s="36"/>
      <c r="S1" s="36"/>
      <c r="T1" s="36"/>
      <c r="U1" s="36"/>
      <c r="V1" s="36"/>
      <c r="W1" s="36"/>
      <c r="X1" s="36"/>
      <c r="Y1" s="36"/>
      <c r="Z1" s="36"/>
      <c r="AA1" s="65" t="s">
        <v>29</v>
      </c>
      <c r="AB1" s="66" t="s">
        <v>5</v>
      </c>
      <c r="AC1" s="66" t="s">
        <v>7</v>
      </c>
      <c r="AD1" s="66" t="s">
        <v>10</v>
      </c>
      <c r="AE1" s="66" t="s">
        <v>30</v>
      </c>
      <c r="AF1" s="66" t="s">
        <v>31</v>
      </c>
      <c r="AG1" s="67" t="s">
        <v>32</v>
      </c>
      <c r="AH1" s="36"/>
      <c r="AI1" s="4" t="s">
        <v>13</v>
      </c>
      <c r="AJ1" s="4">
        <f>C4/(3*C3)</f>
        <v>0.20833333333333334</v>
      </c>
      <c r="AK1" s="4" t="s">
        <v>14</v>
      </c>
      <c r="AL1" s="4"/>
      <c r="AM1" s="4"/>
      <c r="AN1" s="4"/>
      <c r="AO1" s="4"/>
      <c r="AP1" s="4"/>
      <c r="AQ1" s="4"/>
      <c r="AR1" s="4"/>
      <c r="AS1" s="4"/>
    </row>
    <row r="2" spans="1:45" s="2" customFormat="1" ht="13.5" customHeight="1">
      <c r="A2" s="36"/>
      <c r="B2" s="36"/>
      <c r="C2" s="37"/>
      <c r="D2" s="37"/>
      <c r="E2" s="38"/>
      <c r="F2" s="36"/>
      <c r="G2" s="36"/>
      <c r="H2" s="36"/>
      <c r="I2" s="36"/>
      <c r="J2" s="36"/>
      <c r="K2" s="36"/>
      <c r="L2" s="36"/>
      <c r="M2" s="36"/>
      <c r="N2" s="36"/>
      <c r="O2" s="36"/>
      <c r="P2" s="36"/>
      <c r="Q2" s="36"/>
      <c r="R2" s="36"/>
      <c r="S2" s="36"/>
      <c r="T2" s="36"/>
      <c r="U2" s="36"/>
      <c r="V2" s="36"/>
      <c r="W2" s="36"/>
      <c r="X2" s="36"/>
      <c r="Y2" s="36"/>
      <c r="Z2" s="36"/>
      <c r="AA2" s="39">
        <v>0</v>
      </c>
      <c r="AB2" s="40">
        <f aca="true" t="shared" si="0" ref="AB2:AB33">AJ$1*AA2^2+AJ$2*AA2^0.5</f>
        <v>0</v>
      </c>
      <c r="AC2" s="40"/>
      <c r="AD2" s="40"/>
      <c r="AE2" s="48">
        <f aca="true" t="shared" si="1" ref="AE2:AE33">$C$5*AA2</f>
        <v>0</v>
      </c>
      <c r="AF2" s="40">
        <f aca="true" t="shared" si="2" ref="AF2:AF33">AE2-AB2</f>
        <v>0</v>
      </c>
      <c r="AG2" s="41">
        <f aca="true" t="shared" si="3" ref="AG2:AG33">IF(AF2=AF$56,10000,-1000000)</f>
        <v>-1000000</v>
      </c>
      <c r="AH2" s="36"/>
      <c r="AI2" s="4" t="s">
        <v>15</v>
      </c>
      <c r="AJ2" s="4">
        <f>(C4-AJ1*C3)*C3^0.5</f>
        <v>298.14239699997194</v>
      </c>
      <c r="AK2" s="4" t="s">
        <v>16</v>
      </c>
      <c r="AL2" s="4"/>
      <c r="AM2" s="4"/>
      <c r="AN2" s="4"/>
      <c r="AO2" s="4"/>
      <c r="AP2" s="4"/>
      <c r="AQ2" s="4"/>
      <c r="AR2" s="4"/>
      <c r="AS2" s="4"/>
    </row>
    <row r="3" spans="1:45" s="2" customFormat="1" ht="13.5" customHeight="1">
      <c r="A3" s="83" t="s">
        <v>67</v>
      </c>
      <c r="B3" s="83"/>
      <c r="C3" s="63">
        <v>80</v>
      </c>
      <c r="D3" s="37"/>
      <c r="E3" s="38"/>
      <c r="F3" s="36"/>
      <c r="G3" s="36"/>
      <c r="H3" s="36"/>
      <c r="I3" s="36"/>
      <c r="J3" s="36"/>
      <c r="K3" s="36"/>
      <c r="L3" s="36"/>
      <c r="M3" s="36"/>
      <c r="N3" s="36"/>
      <c r="O3" s="36"/>
      <c r="P3" s="36"/>
      <c r="Q3" s="36"/>
      <c r="R3" s="36"/>
      <c r="S3" s="36"/>
      <c r="T3" s="36"/>
      <c r="U3" s="36"/>
      <c r="V3" s="36"/>
      <c r="W3" s="36"/>
      <c r="X3" s="36"/>
      <c r="Y3" s="36"/>
      <c r="Z3" s="36"/>
      <c r="AA3" s="39">
        <f aca="true" t="shared" si="4" ref="AA3:AA22">AA2+0.25</f>
        <v>0.25</v>
      </c>
      <c r="AB3" s="40">
        <f t="shared" si="0"/>
        <v>149.0842193333193</v>
      </c>
      <c r="AC3" s="40">
        <f aca="true" t="shared" si="5" ref="AC3:AC34">2*AJ$1*AA3+0.5*AJ$2*AA3^-0.5</f>
        <v>298.2465636666386</v>
      </c>
      <c r="AD3" s="40">
        <f aca="true" t="shared" si="6" ref="AD3:AD34">AJ$1*AA3+AJ$2*AA3^-0.5</f>
        <v>596.3368773332772</v>
      </c>
      <c r="AE3" s="48">
        <f t="shared" si="1"/>
        <v>15</v>
      </c>
      <c r="AF3" s="40">
        <f t="shared" si="2"/>
        <v>-134.0842193333193</v>
      </c>
      <c r="AG3" s="41">
        <f t="shared" si="3"/>
        <v>-1000000</v>
      </c>
      <c r="AH3" s="36"/>
      <c r="AI3" s="4"/>
      <c r="AJ3" s="4"/>
      <c r="AK3" s="4"/>
      <c r="AL3" s="4"/>
      <c r="AM3" s="4"/>
      <c r="AN3" s="4"/>
      <c r="AO3" s="4"/>
      <c r="AP3" s="4"/>
      <c r="AQ3" s="4"/>
      <c r="AR3" s="4"/>
      <c r="AS3" s="4"/>
    </row>
    <row r="4" spans="1:45" s="2" customFormat="1" ht="13.5" customHeight="1">
      <c r="A4" s="83" t="s">
        <v>68</v>
      </c>
      <c r="B4" s="83"/>
      <c r="C4" s="64">
        <v>50</v>
      </c>
      <c r="D4" s="37"/>
      <c r="E4" s="38"/>
      <c r="F4" s="36"/>
      <c r="G4" s="36"/>
      <c r="H4" s="36"/>
      <c r="I4" s="36"/>
      <c r="J4" s="36"/>
      <c r="K4" s="36"/>
      <c r="L4" s="36"/>
      <c r="M4" s="36"/>
      <c r="N4" s="36"/>
      <c r="O4" s="36"/>
      <c r="P4" s="36"/>
      <c r="Q4" s="36"/>
      <c r="R4" s="36"/>
      <c r="S4" s="36"/>
      <c r="T4" s="36"/>
      <c r="U4" s="36"/>
      <c r="V4" s="36"/>
      <c r="W4" s="36"/>
      <c r="X4" s="36"/>
      <c r="Y4" s="36"/>
      <c r="Z4" s="36"/>
      <c r="AA4" s="39">
        <f t="shared" si="4"/>
        <v>0.5</v>
      </c>
      <c r="AB4" s="40">
        <f t="shared" si="0"/>
        <v>210.8705940112253</v>
      </c>
      <c r="AC4" s="40">
        <f t="shared" si="5"/>
        <v>211.02684401122525</v>
      </c>
      <c r="AD4" s="40">
        <f t="shared" si="6"/>
        <v>421.7411880224505</v>
      </c>
      <c r="AE4" s="48">
        <f t="shared" si="1"/>
        <v>30</v>
      </c>
      <c r="AF4" s="40">
        <f t="shared" si="2"/>
        <v>-180.8705940112253</v>
      </c>
      <c r="AG4" s="41">
        <f t="shared" si="3"/>
        <v>-1000000</v>
      </c>
      <c r="AH4" s="36"/>
      <c r="AI4" s="4"/>
      <c r="AJ4" s="4" t="s">
        <v>33</v>
      </c>
      <c r="AK4" s="4"/>
      <c r="AL4" s="4"/>
      <c r="AM4" s="4"/>
      <c r="AN4" s="4"/>
      <c r="AO4" s="4"/>
      <c r="AP4" s="4"/>
      <c r="AQ4" s="4"/>
      <c r="AR4" s="4"/>
      <c r="AS4" s="4"/>
    </row>
    <row r="5" spans="1:45" s="2" customFormat="1" ht="13.5" customHeight="1">
      <c r="A5" s="83" t="s">
        <v>42</v>
      </c>
      <c r="B5" s="83"/>
      <c r="C5" s="64">
        <v>60</v>
      </c>
      <c r="D5" s="37"/>
      <c r="E5" s="38"/>
      <c r="F5" s="36"/>
      <c r="G5" s="36"/>
      <c r="H5" s="36"/>
      <c r="I5" s="36"/>
      <c r="J5" s="36"/>
      <c r="K5" s="36"/>
      <c r="L5" s="36"/>
      <c r="M5" s="36"/>
      <c r="N5" s="36"/>
      <c r="O5" s="36"/>
      <c r="P5" s="36"/>
      <c r="Q5" s="36"/>
      <c r="R5" s="36"/>
      <c r="S5" s="36"/>
      <c r="T5" s="36"/>
      <c r="U5" s="36"/>
      <c r="V5" s="36"/>
      <c r="W5" s="36"/>
      <c r="X5" s="36"/>
      <c r="Y5" s="36"/>
      <c r="Z5" s="36"/>
      <c r="AA5" s="39">
        <f t="shared" si="4"/>
        <v>0.75</v>
      </c>
      <c r="AB5" s="40">
        <f t="shared" si="0"/>
        <v>258.3160772471611</v>
      </c>
      <c r="AC5" s="40">
        <f t="shared" si="5"/>
        <v>172.4450931647741</v>
      </c>
      <c r="AD5" s="40">
        <f t="shared" si="6"/>
        <v>344.4214363295482</v>
      </c>
      <c r="AE5" s="48">
        <f t="shared" si="1"/>
        <v>45</v>
      </c>
      <c r="AF5" s="40">
        <f t="shared" si="2"/>
        <v>-213.3160772471611</v>
      </c>
      <c r="AG5" s="41">
        <f t="shared" si="3"/>
        <v>-1000000</v>
      </c>
      <c r="AH5" s="36"/>
      <c r="AI5" s="4"/>
      <c r="AJ5" s="4">
        <f>(C$5+SQRT(C$5^2-3*AJ$1*AJ$2))/(3*AJ$1)</f>
        <v>189.48246982616604</v>
      </c>
      <c r="AK5" s="4" t="s">
        <v>34</v>
      </c>
      <c r="AL5" s="4"/>
      <c r="AM5" s="4">
        <f>SQRT(AJ5)</f>
        <v>13.765263158623814</v>
      </c>
      <c r="AN5" s="4"/>
      <c r="AO5" s="4"/>
      <c r="AP5" s="4"/>
      <c r="AQ5" s="4"/>
      <c r="AR5" s="4"/>
      <c r="AS5" s="4"/>
    </row>
    <row r="6" spans="1:45" s="2" customFormat="1" ht="13.5" customHeight="1">
      <c r="A6" s="83" t="s">
        <v>24</v>
      </c>
      <c r="B6" s="83"/>
      <c r="C6" s="63">
        <v>4</v>
      </c>
      <c r="D6" s="57"/>
      <c r="E6" s="38"/>
      <c r="F6" s="36"/>
      <c r="G6" s="36"/>
      <c r="H6" s="36"/>
      <c r="I6" s="36"/>
      <c r="J6" s="36"/>
      <c r="K6" s="36"/>
      <c r="L6" s="36"/>
      <c r="M6" s="36"/>
      <c r="N6" s="36"/>
      <c r="O6" s="36"/>
      <c r="P6" s="36"/>
      <c r="Q6" s="36"/>
      <c r="R6" s="36"/>
      <c r="S6" s="36"/>
      <c r="T6" s="36"/>
      <c r="U6" s="36"/>
      <c r="V6" s="36"/>
      <c r="W6" s="36"/>
      <c r="X6" s="36"/>
      <c r="Y6" s="36"/>
      <c r="Z6" s="36"/>
      <c r="AA6" s="39">
        <f t="shared" si="4"/>
        <v>1</v>
      </c>
      <c r="AB6" s="40">
        <f t="shared" si="0"/>
        <v>298.35073033330525</v>
      </c>
      <c r="AC6" s="40">
        <f t="shared" si="5"/>
        <v>149.48786516665263</v>
      </c>
      <c r="AD6" s="40">
        <f t="shared" si="6"/>
        <v>298.35073033330525</v>
      </c>
      <c r="AE6" s="48">
        <f t="shared" si="1"/>
        <v>60</v>
      </c>
      <c r="AF6" s="40">
        <f t="shared" si="2"/>
        <v>-238.35073033330525</v>
      </c>
      <c r="AG6" s="41">
        <f t="shared" si="3"/>
        <v>-1000000</v>
      </c>
      <c r="AH6" s="36"/>
      <c r="AI6" s="4"/>
      <c r="AJ6" s="4">
        <f>(C$5-SQRT(C$5^2-3*AJ$1*AJ$2))/(3*AJ$1)</f>
        <v>2.5175301738339613</v>
      </c>
      <c r="AK6" s="4"/>
      <c r="AL6" s="4"/>
      <c r="AM6" s="4">
        <f>SQRT(AJ6)</f>
        <v>1.5866726738158572</v>
      </c>
      <c r="AN6" s="4"/>
      <c r="AO6" s="4"/>
      <c r="AP6" s="4"/>
      <c r="AQ6" s="4"/>
      <c r="AR6" s="4"/>
      <c r="AS6" s="4"/>
    </row>
    <row r="7" spans="1:45" s="2" customFormat="1" ht="13.5" customHeight="1">
      <c r="A7" s="57"/>
      <c r="B7" s="57"/>
      <c r="C7" s="57"/>
      <c r="D7" s="57"/>
      <c r="E7" s="38"/>
      <c r="F7" s="36"/>
      <c r="G7" s="36"/>
      <c r="H7" s="36"/>
      <c r="I7" s="36"/>
      <c r="J7" s="36"/>
      <c r="K7" s="36"/>
      <c r="L7" s="36"/>
      <c r="M7" s="36"/>
      <c r="N7" s="36"/>
      <c r="O7" s="36"/>
      <c r="P7" s="36"/>
      <c r="Q7" s="36"/>
      <c r="R7" s="36"/>
      <c r="S7" s="36"/>
      <c r="T7" s="36"/>
      <c r="U7" s="36"/>
      <c r="V7" s="36"/>
      <c r="W7" s="36"/>
      <c r="X7" s="36"/>
      <c r="Y7" s="36"/>
      <c r="Z7" s="36"/>
      <c r="AA7" s="39">
        <f t="shared" si="4"/>
        <v>1.25</v>
      </c>
      <c r="AB7" s="40">
        <f t="shared" si="0"/>
        <v>333.65885416666663</v>
      </c>
      <c r="AC7" s="40">
        <f t="shared" si="5"/>
        <v>133.85416666666666</v>
      </c>
      <c r="AD7" s="40">
        <f t="shared" si="6"/>
        <v>266.9270833333333</v>
      </c>
      <c r="AE7" s="48">
        <f t="shared" si="1"/>
        <v>75</v>
      </c>
      <c r="AF7" s="40">
        <f t="shared" si="2"/>
        <v>-258.65885416666663</v>
      </c>
      <c r="AG7" s="41">
        <f t="shared" si="3"/>
        <v>-1000000</v>
      </c>
      <c r="AH7" s="36"/>
      <c r="AI7" s="4"/>
      <c r="AJ7" s="4"/>
      <c r="AK7" s="4"/>
      <c r="AL7" s="4"/>
      <c r="AM7" s="4"/>
      <c r="AN7" s="4"/>
      <c r="AO7" s="4"/>
      <c r="AP7" s="4"/>
      <c r="AQ7" s="4"/>
      <c r="AR7" s="4"/>
      <c r="AS7" s="4"/>
    </row>
    <row r="8" spans="1:45" s="2" customFormat="1" ht="13.5" customHeight="1">
      <c r="A8" s="36"/>
      <c r="B8" s="36"/>
      <c r="C8" s="36"/>
      <c r="D8" s="43"/>
      <c r="E8" s="38"/>
      <c r="F8" s="36"/>
      <c r="G8" s="36"/>
      <c r="H8" s="36"/>
      <c r="I8" s="36"/>
      <c r="J8" s="36"/>
      <c r="K8" s="36"/>
      <c r="L8" s="36"/>
      <c r="M8" s="36"/>
      <c r="N8" s="36"/>
      <c r="O8" s="36"/>
      <c r="P8" s="36"/>
      <c r="Q8" s="36"/>
      <c r="R8" s="36"/>
      <c r="S8" s="36"/>
      <c r="T8" s="36"/>
      <c r="U8" s="36"/>
      <c r="V8" s="36"/>
      <c r="W8" s="36"/>
      <c r="X8" s="36"/>
      <c r="Y8" s="36"/>
      <c r="Z8" s="36"/>
      <c r="AA8" s="39">
        <f t="shared" si="4"/>
        <v>1.5</v>
      </c>
      <c r="AB8" s="40">
        <f t="shared" si="0"/>
        <v>365.6171216701107</v>
      </c>
      <c r="AC8" s="40">
        <f t="shared" si="5"/>
        <v>122.34112389003693</v>
      </c>
      <c r="AD8" s="40">
        <f t="shared" si="6"/>
        <v>243.74474778007385</v>
      </c>
      <c r="AE8" s="48">
        <f t="shared" si="1"/>
        <v>90</v>
      </c>
      <c r="AF8" s="40">
        <f t="shared" si="2"/>
        <v>-275.6171216701107</v>
      </c>
      <c r="AG8" s="41">
        <f t="shared" si="3"/>
        <v>-1000000</v>
      </c>
      <c r="AH8" s="36"/>
      <c r="AI8" s="4"/>
      <c r="AJ8" s="4"/>
      <c r="AK8" s="4"/>
      <c r="AL8" s="4"/>
      <c r="AM8" s="4"/>
      <c r="AN8" s="4"/>
      <c r="AO8" s="4"/>
      <c r="AP8" s="4"/>
      <c r="AQ8" s="4"/>
      <c r="AR8" s="4"/>
      <c r="AS8" s="4"/>
    </row>
    <row r="9" spans="1:45" s="2" customFormat="1" ht="13.5" customHeight="1">
      <c r="A9" s="36"/>
      <c r="B9" s="36"/>
      <c r="C9" s="36"/>
      <c r="D9" s="36"/>
      <c r="E9" s="38"/>
      <c r="F9" s="36"/>
      <c r="G9" s="36"/>
      <c r="H9" s="36"/>
      <c r="I9" s="36"/>
      <c r="J9" s="36"/>
      <c r="K9" s="36"/>
      <c r="L9" s="36"/>
      <c r="M9" s="36"/>
      <c r="N9" s="36"/>
      <c r="O9" s="36"/>
      <c r="P9" s="36"/>
      <c r="Q9" s="36"/>
      <c r="R9" s="36"/>
      <c r="S9" s="36"/>
      <c r="T9" s="36"/>
      <c r="U9" s="36"/>
      <c r="V9" s="36"/>
      <c r="W9" s="36"/>
      <c r="X9" s="36"/>
      <c r="Y9" s="36"/>
      <c r="Z9" s="36"/>
      <c r="AA9" s="39">
        <f t="shared" si="4"/>
        <v>1.75</v>
      </c>
      <c r="AB9" s="40">
        <f t="shared" si="0"/>
        <v>395.04333970664106</v>
      </c>
      <c r="AC9" s="40">
        <f t="shared" si="5"/>
        <v>113.41640063046886</v>
      </c>
      <c r="AD9" s="40">
        <f t="shared" si="6"/>
        <v>225.7390512609377</v>
      </c>
      <c r="AE9" s="48">
        <f t="shared" si="1"/>
        <v>105</v>
      </c>
      <c r="AF9" s="40">
        <f t="shared" si="2"/>
        <v>-290.04333970664106</v>
      </c>
      <c r="AG9" s="41">
        <f t="shared" si="3"/>
        <v>-1000000</v>
      </c>
      <c r="AH9" s="36"/>
      <c r="AI9" s="4"/>
      <c r="AJ9" s="4"/>
      <c r="AK9" s="4"/>
      <c r="AL9" s="4"/>
      <c r="AM9" s="4"/>
      <c r="AN9" s="4"/>
      <c r="AO9" s="4"/>
      <c r="AP9" s="4"/>
      <c r="AQ9" s="4"/>
      <c r="AR9" s="4"/>
      <c r="AS9" s="4"/>
    </row>
    <row r="10" spans="1:45" s="2" customFormat="1" ht="13.5" customHeight="1">
      <c r="A10" s="36"/>
      <c r="B10" s="36"/>
      <c r="C10" s="36"/>
      <c r="D10" s="36"/>
      <c r="E10" s="38"/>
      <c r="F10" s="36"/>
      <c r="G10" s="36"/>
      <c r="H10" s="36"/>
      <c r="I10" s="36"/>
      <c r="J10" s="36"/>
      <c r="K10" s="36"/>
      <c r="L10" s="36"/>
      <c r="M10" s="36"/>
      <c r="N10" s="36"/>
      <c r="O10" s="36"/>
      <c r="P10" s="36"/>
      <c r="Q10" s="36"/>
      <c r="R10" s="36"/>
      <c r="S10" s="36"/>
      <c r="T10" s="36"/>
      <c r="U10" s="36"/>
      <c r="V10" s="36"/>
      <c r="W10" s="36"/>
      <c r="X10" s="36"/>
      <c r="Y10" s="36"/>
      <c r="Z10" s="36"/>
      <c r="AA10" s="39">
        <f t="shared" si="4"/>
        <v>2</v>
      </c>
      <c r="AB10" s="40">
        <f t="shared" si="0"/>
        <v>422.47035468911724</v>
      </c>
      <c r="AC10" s="40">
        <f t="shared" si="5"/>
        <v>106.24258867227928</v>
      </c>
      <c r="AD10" s="40">
        <f t="shared" si="6"/>
        <v>211.23517734455856</v>
      </c>
      <c r="AE10" s="48">
        <f t="shared" si="1"/>
        <v>120</v>
      </c>
      <c r="AF10" s="40">
        <f t="shared" si="2"/>
        <v>-302.47035468911724</v>
      </c>
      <c r="AG10" s="41">
        <f t="shared" si="3"/>
        <v>-1000000</v>
      </c>
      <c r="AH10" s="36"/>
      <c r="AI10" s="4"/>
      <c r="AJ10" s="4"/>
      <c r="AK10" s="4"/>
      <c r="AL10" s="4"/>
      <c r="AM10" s="4"/>
      <c r="AN10" s="4"/>
      <c r="AO10" s="4"/>
      <c r="AP10" s="4"/>
      <c r="AQ10" s="4"/>
      <c r="AR10" s="4"/>
      <c r="AS10" s="4"/>
    </row>
    <row r="11" spans="1:45" s="2" customFormat="1" ht="13.5" customHeight="1">
      <c r="A11" s="72" t="s">
        <v>29</v>
      </c>
      <c r="B11" s="72" t="s">
        <v>5</v>
      </c>
      <c r="C11" s="72" t="s">
        <v>30</v>
      </c>
      <c r="D11" s="72" t="s">
        <v>31</v>
      </c>
      <c r="E11" s="38"/>
      <c r="F11" s="36"/>
      <c r="G11" s="36"/>
      <c r="H11" s="36"/>
      <c r="I11" s="36"/>
      <c r="J11" s="36"/>
      <c r="K11" s="36"/>
      <c r="L11" s="36"/>
      <c r="M11" s="36"/>
      <c r="N11" s="36"/>
      <c r="O11" s="36"/>
      <c r="P11" s="36"/>
      <c r="Q11" s="36"/>
      <c r="R11" s="36"/>
      <c r="S11" s="36"/>
      <c r="T11" s="36"/>
      <c r="U11" s="36"/>
      <c r="V11" s="36"/>
      <c r="W11" s="36"/>
      <c r="X11" s="36"/>
      <c r="Y11" s="36"/>
      <c r="Z11" s="36"/>
      <c r="AA11" s="39">
        <f t="shared" si="4"/>
        <v>2.25</v>
      </c>
      <c r="AB11" s="40">
        <f t="shared" si="0"/>
        <v>448.26828299995793</v>
      </c>
      <c r="AC11" s="40">
        <f t="shared" si="5"/>
        <v>100.31829899999065</v>
      </c>
      <c r="AD11" s="40">
        <f t="shared" si="6"/>
        <v>199.2303479999813</v>
      </c>
      <c r="AE11" s="48">
        <f t="shared" si="1"/>
        <v>135</v>
      </c>
      <c r="AF11" s="40">
        <f t="shared" si="2"/>
        <v>-313.26828299995793</v>
      </c>
      <c r="AG11" s="41">
        <f t="shared" si="3"/>
        <v>-1000000</v>
      </c>
      <c r="AH11" s="36"/>
      <c r="AI11" s="4"/>
      <c r="AJ11" s="4"/>
      <c r="AK11" s="4"/>
      <c r="AL11" s="4"/>
      <c r="AM11" s="4"/>
      <c r="AN11" s="4"/>
      <c r="AO11" s="4"/>
      <c r="AP11" s="4"/>
      <c r="AQ11" s="4"/>
      <c r="AR11" s="4"/>
      <c r="AS11" s="4"/>
    </row>
    <row r="12" spans="1:45" s="2" customFormat="1" ht="13.5" customHeight="1">
      <c r="A12" s="46">
        <v>0</v>
      </c>
      <c r="B12" s="47">
        <f aca="true" t="shared" si="7" ref="B12:B19">AJ$1*A12^2+AJ$2*A12^0.5</f>
        <v>0</v>
      </c>
      <c r="C12" s="47">
        <f aca="true" t="shared" si="8" ref="C12:C19">C$5*A12</f>
        <v>0</v>
      </c>
      <c r="D12" s="47">
        <f aca="true" t="shared" si="9" ref="D12:D19">C12-B12</f>
        <v>0</v>
      </c>
      <c r="E12" s="38"/>
      <c r="F12" s="36"/>
      <c r="G12" s="36"/>
      <c r="H12" s="36"/>
      <c r="I12" s="36"/>
      <c r="J12" s="36"/>
      <c r="K12" s="36"/>
      <c r="L12" s="36"/>
      <c r="M12" s="36"/>
      <c r="N12" s="36"/>
      <c r="O12" s="36"/>
      <c r="P12" s="36"/>
      <c r="Q12" s="36"/>
      <c r="R12" s="36"/>
      <c r="S12" s="36"/>
      <c r="T12" s="36"/>
      <c r="U12" s="36"/>
      <c r="V12" s="36"/>
      <c r="W12" s="36"/>
      <c r="X12" s="36"/>
      <c r="Y12" s="36"/>
      <c r="Z12" s="36"/>
      <c r="AA12" s="39">
        <f t="shared" si="4"/>
        <v>2.5</v>
      </c>
      <c r="AB12" s="40">
        <f t="shared" si="0"/>
        <v>472.706604124365</v>
      </c>
      <c r="AC12" s="40">
        <f t="shared" si="5"/>
        <v>95.322570824873</v>
      </c>
      <c r="AD12" s="40">
        <f t="shared" si="6"/>
        <v>189.082641649746</v>
      </c>
      <c r="AE12" s="48">
        <f t="shared" si="1"/>
        <v>150</v>
      </c>
      <c r="AF12" s="40">
        <f t="shared" si="2"/>
        <v>-322.706604124365</v>
      </c>
      <c r="AG12" s="41">
        <f t="shared" si="3"/>
        <v>-1000000</v>
      </c>
      <c r="AH12" s="36"/>
      <c r="AI12" s="4"/>
      <c r="AJ12" s="4"/>
      <c r="AK12" s="4"/>
      <c r="AL12" s="4"/>
      <c r="AM12" s="4"/>
      <c r="AN12" s="4"/>
      <c r="AO12" s="4"/>
      <c r="AP12" s="4"/>
      <c r="AQ12" s="4"/>
      <c r="AR12" s="4"/>
      <c r="AS12" s="4"/>
    </row>
    <row r="13" spans="1:45" s="2" customFormat="1" ht="13.5" customHeight="1">
      <c r="A13" s="46">
        <f aca="true" t="shared" si="10" ref="A13:A19">A12+5*C$6</f>
        <v>20</v>
      </c>
      <c r="B13" s="47">
        <f t="shared" si="7"/>
        <v>1416.6666666666665</v>
      </c>
      <c r="C13" s="47">
        <f t="shared" si="8"/>
        <v>1200</v>
      </c>
      <c r="D13" s="47">
        <f t="shared" si="9"/>
        <v>-216.66666666666652</v>
      </c>
      <c r="E13" s="38"/>
      <c r="F13" s="36"/>
      <c r="G13" s="36"/>
      <c r="H13" s="36"/>
      <c r="I13" s="36"/>
      <c r="J13" s="36"/>
      <c r="K13" s="36"/>
      <c r="L13" s="36"/>
      <c r="M13" s="36"/>
      <c r="N13" s="36"/>
      <c r="O13" s="36"/>
      <c r="P13" s="36"/>
      <c r="Q13" s="36"/>
      <c r="R13" s="36"/>
      <c r="S13" s="36"/>
      <c r="T13" s="36"/>
      <c r="U13" s="36"/>
      <c r="V13" s="36"/>
      <c r="W13" s="36"/>
      <c r="X13" s="36"/>
      <c r="Y13" s="36"/>
      <c r="Z13" s="36"/>
      <c r="AA13" s="39">
        <f t="shared" si="4"/>
        <v>2.75</v>
      </c>
      <c r="AB13" s="40">
        <f t="shared" si="0"/>
        <v>495.9887533063775</v>
      </c>
      <c r="AC13" s="40">
        <f t="shared" si="5"/>
        <v>91.03914832843226</v>
      </c>
      <c r="AD13" s="40">
        <f t="shared" si="6"/>
        <v>180.35954665686452</v>
      </c>
      <c r="AE13" s="48">
        <f t="shared" si="1"/>
        <v>165</v>
      </c>
      <c r="AF13" s="40">
        <f t="shared" si="2"/>
        <v>-330.9887533063775</v>
      </c>
      <c r="AG13" s="41">
        <f t="shared" si="3"/>
        <v>-1000000</v>
      </c>
      <c r="AH13" s="36"/>
      <c r="AI13" s="4"/>
      <c r="AJ13" s="4"/>
      <c r="AK13" s="4"/>
      <c r="AL13" s="4"/>
      <c r="AM13" s="4"/>
      <c r="AN13" s="4"/>
      <c r="AO13" s="4"/>
      <c r="AP13" s="4"/>
      <c r="AQ13" s="4"/>
      <c r="AR13" s="4"/>
      <c r="AS13" s="4"/>
    </row>
    <row r="14" spans="1:45" s="2" customFormat="1" ht="13.5" customHeight="1">
      <c r="A14" s="46">
        <f t="shared" si="10"/>
        <v>40</v>
      </c>
      <c r="B14" s="47">
        <f t="shared" si="7"/>
        <v>2218.9514164974603</v>
      </c>
      <c r="C14" s="47">
        <f t="shared" si="8"/>
        <v>2400</v>
      </c>
      <c r="D14" s="47">
        <f t="shared" si="9"/>
        <v>181.0485835025397</v>
      </c>
      <c r="E14" s="38"/>
      <c r="F14" s="36"/>
      <c r="G14" s="36"/>
      <c r="H14" s="36"/>
      <c r="I14" s="36"/>
      <c r="J14" s="36"/>
      <c r="K14" s="36"/>
      <c r="L14" s="36"/>
      <c r="M14" s="36"/>
      <c r="N14" s="36"/>
      <c r="O14" s="36"/>
      <c r="P14" s="36"/>
      <c r="Q14" s="36"/>
      <c r="R14" s="36"/>
      <c r="S14" s="36"/>
      <c r="T14" s="36"/>
      <c r="U14" s="36"/>
      <c r="V14" s="36"/>
      <c r="W14" s="36"/>
      <c r="X14" s="36"/>
      <c r="Y14" s="36"/>
      <c r="Z14" s="36"/>
      <c r="AA14" s="39">
        <f t="shared" si="4"/>
        <v>3</v>
      </c>
      <c r="AB14" s="40">
        <f t="shared" si="0"/>
        <v>518.2727794943222</v>
      </c>
      <c r="AC14" s="40">
        <f t="shared" si="5"/>
        <v>87.31629658238705</v>
      </c>
      <c r="AD14" s="40">
        <f t="shared" si="6"/>
        <v>172.7575931647741</v>
      </c>
      <c r="AE14" s="48">
        <f t="shared" si="1"/>
        <v>180</v>
      </c>
      <c r="AF14" s="40">
        <f t="shared" si="2"/>
        <v>-338.2727794943222</v>
      </c>
      <c r="AG14" s="41">
        <f t="shared" si="3"/>
        <v>-1000000</v>
      </c>
      <c r="AH14" s="36"/>
      <c r="AI14" s="4"/>
      <c r="AJ14" s="4"/>
      <c r="AK14" s="4"/>
      <c r="AL14" s="4"/>
      <c r="AM14" s="4"/>
      <c r="AN14" s="4"/>
      <c r="AO14" s="4"/>
      <c r="AP14" s="4"/>
      <c r="AQ14" s="4"/>
      <c r="AR14" s="4"/>
      <c r="AS14" s="4"/>
    </row>
    <row r="15" spans="1:45" s="2" customFormat="1" ht="13.5" customHeight="1">
      <c r="A15" s="46">
        <f t="shared" si="10"/>
        <v>60</v>
      </c>
      <c r="B15" s="47">
        <f t="shared" si="7"/>
        <v>3059.4010767585028</v>
      </c>
      <c r="C15" s="47">
        <f t="shared" si="8"/>
        <v>3600</v>
      </c>
      <c r="D15" s="47">
        <f t="shared" si="9"/>
        <v>540.5989232414972</v>
      </c>
      <c r="E15" s="38"/>
      <c r="F15" s="36"/>
      <c r="G15" s="36"/>
      <c r="H15" s="36"/>
      <c r="I15" s="36"/>
      <c r="J15" s="36"/>
      <c r="K15" s="36"/>
      <c r="L15" s="36"/>
      <c r="M15" s="36"/>
      <c r="N15" s="36"/>
      <c r="O15" s="36"/>
      <c r="P15" s="36"/>
      <c r="Q15" s="36"/>
      <c r="R15" s="36"/>
      <c r="S15" s="36"/>
      <c r="T15" s="36"/>
      <c r="U15" s="36"/>
      <c r="V15" s="36"/>
      <c r="W15" s="36"/>
      <c r="X15" s="36"/>
      <c r="Y15" s="36"/>
      <c r="Z15" s="36"/>
      <c r="AA15" s="39">
        <f t="shared" si="4"/>
        <v>3.25</v>
      </c>
      <c r="AB15" s="40">
        <f t="shared" si="0"/>
        <v>539.6843707199033</v>
      </c>
      <c r="AC15" s="40">
        <f t="shared" si="5"/>
        <v>84.04398972613897</v>
      </c>
      <c r="AD15" s="40">
        <f t="shared" si="6"/>
        <v>166.05672945227795</v>
      </c>
      <c r="AE15" s="48">
        <f t="shared" si="1"/>
        <v>195</v>
      </c>
      <c r="AF15" s="40">
        <f t="shared" si="2"/>
        <v>-344.6843707199033</v>
      </c>
      <c r="AG15" s="41">
        <f t="shared" si="3"/>
        <v>-1000000</v>
      </c>
      <c r="AH15" s="36"/>
      <c r="AI15" s="4"/>
      <c r="AJ15" s="4"/>
      <c r="AK15" s="4"/>
      <c r="AL15" s="4"/>
      <c r="AM15" s="4"/>
      <c r="AN15" s="4"/>
      <c r="AO15" s="4"/>
      <c r="AP15" s="4"/>
      <c r="AQ15" s="4"/>
      <c r="AR15" s="4"/>
      <c r="AS15" s="4"/>
    </row>
    <row r="16" spans="1:45" s="2" customFormat="1" ht="13.5" customHeight="1">
      <c r="A16" s="46">
        <f t="shared" si="10"/>
        <v>80</v>
      </c>
      <c r="B16" s="47">
        <f t="shared" si="7"/>
        <v>4000</v>
      </c>
      <c r="C16" s="47">
        <f t="shared" si="8"/>
        <v>4800</v>
      </c>
      <c r="D16" s="47">
        <f t="shared" si="9"/>
        <v>800</v>
      </c>
      <c r="E16" s="38"/>
      <c r="F16" s="36"/>
      <c r="G16" s="36"/>
      <c r="H16" s="36"/>
      <c r="I16" s="36"/>
      <c r="J16" s="36"/>
      <c r="K16" s="36"/>
      <c r="L16" s="36"/>
      <c r="M16" s="36"/>
      <c r="N16" s="36"/>
      <c r="O16" s="36"/>
      <c r="P16" s="36"/>
      <c r="Q16" s="36"/>
      <c r="R16" s="36"/>
      <c r="S16" s="36"/>
      <c r="T16" s="36"/>
      <c r="U16" s="36"/>
      <c r="V16" s="36"/>
      <c r="W16" s="36"/>
      <c r="X16" s="36"/>
      <c r="Y16" s="36"/>
      <c r="Z16" s="36"/>
      <c r="AA16" s="39">
        <f t="shared" si="4"/>
        <v>3.5</v>
      </c>
      <c r="AB16" s="40">
        <f t="shared" si="0"/>
        <v>560.3254343560503</v>
      </c>
      <c r="AC16" s="40">
        <f t="shared" si="5"/>
        <v>81.14024062229291</v>
      </c>
      <c r="AD16" s="40">
        <f t="shared" si="6"/>
        <v>160.09298124458581</v>
      </c>
      <c r="AE16" s="48">
        <f t="shared" si="1"/>
        <v>210</v>
      </c>
      <c r="AF16" s="40">
        <f t="shared" si="2"/>
        <v>-350.3254343560503</v>
      </c>
      <c r="AG16" s="41">
        <f t="shared" si="3"/>
        <v>-1000000</v>
      </c>
      <c r="AH16" s="36"/>
      <c r="AI16" s="4"/>
      <c r="AJ16" s="4"/>
      <c r="AK16" s="4"/>
      <c r="AL16" s="4"/>
      <c r="AM16" s="4"/>
      <c r="AN16" s="4"/>
      <c r="AO16" s="4"/>
      <c r="AP16" s="4"/>
      <c r="AQ16" s="4"/>
      <c r="AR16" s="4"/>
      <c r="AS16" s="4"/>
    </row>
    <row r="17" spans="1:45" s="2" customFormat="1" ht="13.5" customHeight="1">
      <c r="A17" s="46">
        <f t="shared" si="10"/>
        <v>100</v>
      </c>
      <c r="B17" s="47">
        <f t="shared" si="7"/>
        <v>5064.757303333053</v>
      </c>
      <c r="C17" s="47">
        <f t="shared" si="8"/>
        <v>6000</v>
      </c>
      <c r="D17" s="47">
        <f t="shared" si="9"/>
        <v>935.2426966669473</v>
      </c>
      <c r="E17" s="38"/>
      <c r="F17" s="36"/>
      <c r="G17" s="36"/>
      <c r="H17" s="36"/>
      <c r="I17" s="36"/>
      <c r="J17" s="36"/>
      <c r="K17" s="36"/>
      <c r="L17" s="36"/>
      <c r="M17" s="36"/>
      <c r="N17" s="36"/>
      <c r="O17" s="36"/>
      <c r="P17" s="36"/>
      <c r="Q17" s="36"/>
      <c r="R17" s="36"/>
      <c r="S17" s="36"/>
      <c r="T17" s="36"/>
      <c r="U17" s="36"/>
      <c r="V17" s="36"/>
      <c r="W17" s="36"/>
      <c r="X17" s="36"/>
      <c r="Y17" s="36"/>
      <c r="Z17" s="36"/>
      <c r="AA17" s="39">
        <f t="shared" si="4"/>
        <v>3.75</v>
      </c>
      <c r="AB17" s="40">
        <f t="shared" si="0"/>
        <v>580.2799566896257</v>
      </c>
      <c r="AC17" s="40">
        <f t="shared" si="5"/>
        <v>78.54253589195008</v>
      </c>
      <c r="AD17" s="40">
        <f t="shared" si="6"/>
        <v>154.74132178390016</v>
      </c>
      <c r="AE17" s="48">
        <f t="shared" si="1"/>
        <v>225</v>
      </c>
      <c r="AF17" s="40">
        <f t="shared" si="2"/>
        <v>-355.2799566896257</v>
      </c>
      <c r="AG17" s="41">
        <f t="shared" si="3"/>
        <v>-1000000</v>
      </c>
      <c r="AH17" s="36"/>
      <c r="AI17" s="4"/>
      <c r="AJ17" s="4"/>
      <c r="AK17" s="4"/>
      <c r="AL17" s="4"/>
      <c r="AM17" s="4"/>
      <c r="AN17" s="4"/>
      <c r="AO17" s="4"/>
      <c r="AP17" s="4"/>
      <c r="AQ17" s="4"/>
      <c r="AR17" s="4"/>
      <c r="AS17" s="4"/>
    </row>
    <row r="18" spans="1:45" s="2" customFormat="1" ht="13.5" customHeight="1">
      <c r="A18" s="46">
        <f t="shared" si="10"/>
        <v>120</v>
      </c>
      <c r="B18" s="47">
        <f t="shared" si="7"/>
        <v>6265.986323710904</v>
      </c>
      <c r="C18" s="47">
        <f t="shared" si="8"/>
        <v>7200</v>
      </c>
      <c r="D18" s="47">
        <f t="shared" si="9"/>
        <v>934.0136762890961</v>
      </c>
      <c r="E18" s="38"/>
      <c r="F18" s="36"/>
      <c r="G18" s="36"/>
      <c r="H18" s="36"/>
      <c r="I18" s="36"/>
      <c r="J18" s="36"/>
      <c r="K18" s="36"/>
      <c r="L18" s="36"/>
      <c r="M18" s="36"/>
      <c r="N18" s="36"/>
      <c r="O18" s="36"/>
      <c r="P18" s="36"/>
      <c r="Q18" s="36"/>
      <c r="R18" s="36"/>
      <c r="S18" s="36"/>
      <c r="T18" s="36"/>
      <c r="U18" s="36"/>
      <c r="V18" s="36"/>
      <c r="W18" s="36"/>
      <c r="X18" s="36"/>
      <c r="Y18" s="36"/>
      <c r="Z18" s="36"/>
      <c r="AA18" s="39">
        <f t="shared" si="4"/>
        <v>4</v>
      </c>
      <c r="AB18" s="40">
        <f t="shared" si="0"/>
        <v>599.6181273332772</v>
      </c>
      <c r="AC18" s="40">
        <f t="shared" si="5"/>
        <v>76.20226591665966</v>
      </c>
      <c r="AD18" s="40">
        <f t="shared" si="6"/>
        <v>149.9045318333193</v>
      </c>
      <c r="AE18" s="48">
        <f t="shared" si="1"/>
        <v>240</v>
      </c>
      <c r="AF18" s="40">
        <f t="shared" si="2"/>
        <v>-359.61812733327724</v>
      </c>
      <c r="AG18" s="41">
        <f t="shared" si="3"/>
        <v>-1000000</v>
      </c>
      <c r="AH18" s="36"/>
      <c r="AI18" s="4"/>
      <c r="AJ18" s="4"/>
      <c r="AK18" s="4"/>
      <c r="AL18" s="4"/>
      <c r="AM18" s="4"/>
      <c r="AN18" s="4"/>
      <c r="AO18" s="4"/>
      <c r="AP18" s="4"/>
      <c r="AQ18" s="4"/>
      <c r="AR18" s="4"/>
      <c r="AS18" s="4"/>
    </row>
    <row r="19" spans="1:45" s="2" customFormat="1" ht="13.5" customHeight="1">
      <c r="A19" s="46">
        <f t="shared" si="10"/>
        <v>140</v>
      </c>
      <c r="B19" s="47">
        <f t="shared" si="7"/>
        <v>7611.001748086121</v>
      </c>
      <c r="C19" s="47">
        <f t="shared" si="8"/>
        <v>8400</v>
      </c>
      <c r="D19" s="47">
        <f t="shared" si="9"/>
        <v>788.9982519138794</v>
      </c>
      <c r="E19" s="38"/>
      <c r="F19" s="36"/>
      <c r="G19" s="36"/>
      <c r="H19" s="36"/>
      <c r="I19" s="36"/>
      <c r="J19" s="36"/>
      <c r="K19" s="36"/>
      <c r="L19" s="36"/>
      <c r="M19" s="36"/>
      <c r="N19" s="36"/>
      <c r="O19" s="36"/>
      <c r="P19" s="36"/>
      <c r="Q19" s="36"/>
      <c r="R19" s="36"/>
      <c r="S19" s="36"/>
      <c r="T19" s="36"/>
      <c r="U19" s="36"/>
      <c r="V19" s="36"/>
      <c r="W19" s="36"/>
      <c r="X19" s="36"/>
      <c r="Y19" s="36"/>
      <c r="Z19" s="36"/>
      <c r="AA19" s="39">
        <f t="shared" si="4"/>
        <v>4.25</v>
      </c>
      <c r="AB19" s="40">
        <f t="shared" si="0"/>
        <v>618.3993179861925</v>
      </c>
      <c r="AC19" s="40">
        <f t="shared" si="5"/>
        <v>74.08098593955205</v>
      </c>
      <c r="AD19" s="40">
        <f t="shared" si="6"/>
        <v>145.5057218791041</v>
      </c>
      <c r="AE19" s="48">
        <f t="shared" si="1"/>
        <v>255</v>
      </c>
      <c r="AF19" s="40">
        <f t="shared" si="2"/>
        <v>-363.3993179861925</v>
      </c>
      <c r="AG19" s="41">
        <f t="shared" si="3"/>
        <v>-1000000</v>
      </c>
      <c r="AH19" s="36"/>
      <c r="AI19" s="4"/>
      <c r="AJ19" s="4"/>
      <c r="AK19" s="4"/>
      <c r="AL19" s="4"/>
      <c r="AM19" s="4"/>
      <c r="AN19" s="4"/>
      <c r="AO19" s="4"/>
      <c r="AP19" s="4"/>
      <c r="AQ19" s="4"/>
      <c r="AR19" s="4"/>
      <c r="AS19" s="4"/>
    </row>
    <row r="20" spans="1:45" s="2" customFormat="1" ht="13.5" customHeight="1">
      <c r="A20" s="73" t="s">
        <v>71</v>
      </c>
      <c r="B20" s="73"/>
      <c r="C20" s="47">
        <v>4</v>
      </c>
      <c r="D20" s="45"/>
      <c r="E20" s="38"/>
      <c r="F20" s="36"/>
      <c r="G20" s="36"/>
      <c r="H20" s="36"/>
      <c r="I20" s="36"/>
      <c r="J20" s="36"/>
      <c r="K20" s="36"/>
      <c r="L20" s="36"/>
      <c r="M20" s="36"/>
      <c r="N20" s="36"/>
      <c r="O20" s="36"/>
      <c r="P20" s="36"/>
      <c r="Q20" s="36"/>
      <c r="R20" s="36"/>
      <c r="S20" s="36"/>
      <c r="T20" s="36"/>
      <c r="U20" s="36"/>
      <c r="V20" s="36"/>
      <c r="W20" s="36"/>
      <c r="X20" s="36"/>
      <c r="Y20" s="36"/>
      <c r="Z20" s="36"/>
      <c r="AA20" s="39">
        <f t="shared" si="4"/>
        <v>4.5</v>
      </c>
      <c r="AB20" s="40">
        <f t="shared" si="0"/>
        <v>636.6742820336758</v>
      </c>
      <c r="AC20" s="40">
        <f t="shared" si="5"/>
        <v>72.14783689263065</v>
      </c>
      <c r="AD20" s="40">
        <f t="shared" si="6"/>
        <v>141.4831737852613</v>
      </c>
      <c r="AE20" s="48">
        <f t="shared" si="1"/>
        <v>270</v>
      </c>
      <c r="AF20" s="40">
        <f t="shared" si="2"/>
        <v>-366.6742820336758</v>
      </c>
      <c r="AG20" s="41">
        <f t="shared" si="3"/>
        <v>-1000000</v>
      </c>
      <c r="AH20" s="36"/>
      <c r="AI20" s="4"/>
      <c r="AJ20" s="4"/>
      <c r="AK20" s="4"/>
      <c r="AL20" s="4"/>
      <c r="AM20" s="4"/>
      <c r="AN20" s="4"/>
      <c r="AO20" s="4"/>
      <c r="AP20" s="4"/>
      <c r="AQ20" s="4"/>
      <c r="AR20" s="4"/>
      <c r="AS20" s="4"/>
    </row>
    <row r="21" spans="1:45" s="2" customFormat="1" ht="13.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9">
        <f t="shared" si="4"/>
        <v>4.75</v>
      </c>
      <c r="AB21" s="40">
        <f t="shared" si="0"/>
        <v>654.4868104872643</v>
      </c>
      <c r="AC21" s="40">
        <f t="shared" si="5"/>
        <v>70.3777234723436</v>
      </c>
      <c r="AD21" s="40">
        <f t="shared" si="6"/>
        <v>137.7866969446872</v>
      </c>
      <c r="AE21" s="48">
        <f t="shared" si="1"/>
        <v>285</v>
      </c>
      <c r="AF21" s="40">
        <f t="shared" si="2"/>
        <v>-369.4868104872643</v>
      </c>
      <c r="AG21" s="41">
        <f t="shared" si="3"/>
        <v>-1000000</v>
      </c>
      <c r="AH21" s="36"/>
      <c r="AI21" s="4"/>
      <c r="AJ21" s="4"/>
      <c r="AK21" s="4"/>
      <c r="AL21" s="4"/>
      <c r="AM21" s="4"/>
      <c r="AN21" s="4"/>
      <c r="AO21" s="4"/>
      <c r="AP21" s="4"/>
      <c r="AQ21" s="4"/>
      <c r="AR21" s="4"/>
      <c r="AS21" s="4"/>
    </row>
    <row r="22" spans="1:45" s="2" customFormat="1" ht="13.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9">
        <f t="shared" si="4"/>
        <v>5</v>
      </c>
      <c r="AB22" s="40">
        <f t="shared" si="0"/>
        <v>671.875</v>
      </c>
      <c r="AC22" s="40">
        <f t="shared" si="5"/>
        <v>68.74999999999999</v>
      </c>
      <c r="AD22" s="40">
        <f t="shared" si="6"/>
        <v>134.37499999999997</v>
      </c>
      <c r="AE22" s="48">
        <f t="shared" si="1"/>
        <v>300</v>
      </c>
      <c r="AF22" s="40">
        <f t="shared" si="2"/>
        <v>-371.875</v>
      </c>
      <c r="AG22" s="41">
        <f t="shared" si="3"/>
        <v>-1000000</v>
      </c>
      <c r="AH22" s="36"/>
      <c r="AI22" s="4"/>
      <c r="AJ22" s="4"/>
      <c r="AK22" s="4"/>
      <c r="AL22" s="4"/>
      <c r="AM22" s="4"/>
      <c r="AN22" s="4"/>
      <c r="AO22" s="4"/>
      <c r="AP22" s="4"/>
      <c r="AQ22" s="4"/>
      <c r="AR22" s="4"/>
      <c r="AS22" s="4"/>
    </row>
    <row r="23" spans="1:45" s="2" customFormat="1" ht="13.5"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9">
        <f aca="true" t="shared" si="11" ref="AA23:AA55">AA22+$C$6</f>
        <v>9</v>
      </c>
      <c r="AB23" s="40">
        <f t="shared" si="0"/>
        <v>911.3021909999159</v>
      </c>
      <c r="AC23" s="40">
        <f t="shared" si="5"/>
        <v>53.44039949999532</v>
      </c>
      <c r="AD23" s="40">
        <f t="shared" si="6"/>
        <v>101.25579899999065</v>
      </c>
      <c r="AE23" s="48">
        <f t="shared" si="1"/>
        <v>540</v>
      </c>
      <c r="AF23" s="40">
        <f t="shared" si="2"/>
        <v>-371.30219099991587</v>
      </c>
      <c r="AG23" s="41">
        <f t="shared" si="3"/>
        <v>-1000000</v>
      </c>
      <c r="AH23" s="36"/>
      <c r="AI23" s="4"/>
      <c r="AJ23" s="4"/>
      <c r="AK23" s="4"/>
      <c r="AL23" s="4"/>
      <c r="AM23" s="4"/>
      <c r="AN23" s="4"/>
      <c r="AO23" s="4"/>
      <c r="AP23" s="4"/>
      <c r="AQ23" s="4"/>
      <c r="AR23" s="4"/>
      <c r="AS23" s="4"/>
    </row>
    <row r="24" spans="1:45" s="2" customFormat="1" ht="13.5"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9">
        <f t="shared" si="11"/>
        <v>13</v>
      </c>
      <c r="AB24" s="40">
        <f t="shared" si="0"/>
        <v>1110.1760331064731</v>
      </c>
      <c r="AC24" s="40">
        <f t="shared" si="5"/>
        <v>46.761578196402816</v>
      </c>
      <c r="AD24" s="40">
        <f t="shared" si="6"/>
        <v>85.39815639280563</v>
      </c>
      <c r="AE24" s="48">
        <f t="shared" si="1"/>
        <v>780</v>
      </c>
      <c r="AF24" s="40">
        <f t="shared" si="2"/>
        <v>-330.17603310647314</v>
      </c>
      <c r="AG24" s="41">
        <f t="shared" si="3"/>
        <v>-1000000</v>
      </c>
      <c r="AH24" s="36"/>
      <c r="AI24" s="4"/>
      <c r="AJ24" s="4"/>
      <c r="AK24" s="4"/>
      <c r="AL24" s="4"/>
      <c r="AM24" s="4"/>
      <c r="AN24" s="4"/>
      <c r="AO24" s="4"/>
      <c r="AP24" s="4"/>
      <c r="AQ24" s="4"/>
      <c r="AR24" s="4"/>
      <c r="AS24" s="4"/>
    </row>
    <row r="25" spans="1:45" s="2" customFormat="1" ht="13.5" customHeight="1">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9">
        <f t="shared" si="11"/>
        <v>17</v>
      </c>
      <c r="AB25" s="40">
        <f t="shared" si="0"/>
        <v>1289.4809276390515</v>
      </c>
      <c r="AC25" s="40">
        <f t="shared" si="5"/>
        <v>43.2384096364427</v>
      </c>
      <c r="AD25" s="40">
        <f t="shared" si="6"/>
        <v>75.8518192728854</v>
      </c>
      <c r="AE25" s="48">
        <f t="shared" si="1"/>
        <v>1020</v>
      </c>
      <c r="AF25" s="40">
        <f t="shared" si="2"/>
        <v>-269.4809276390515</v>
      </c>
      <c r="AG25" s="41">
        <f t="shared" si="3"/>
        <v>-1000000</v>
      </c>
      <c r="AH25" s="36"/>
      <c r="AI25" s="4"/>
      <c r="AJ25" s="4"/>
      <c r="AK25" s="4"/>
      <c r="AL25" s="4"/>
      <c r="AM25" s="4"/>
      <c r="AN25" s="4"/>
      <c r="AO25" s="4"/>
      <c r="AP25" s="4"/>
      <c r="AQ25" s="4"/>
      <c r="AR25" s="4"/>
      <c r="AS25" s="4"/>
    </row>
    <row r="26" spans="1:45" s="2" customFormat="1" ht="13.5" customHeight="1">
      <c r="A26" s="36"/>
      <c r="B26" s="36"/>
      <c r="C26" s="36"/>
      <c r="D26" s="36"/>
      <c r="E26" s="36"/>
      <c r="F26" s="35"/>
      <c r="G26" s="35"/>
      <c r="H26" s="35"/>
      <c r="I26" s="36"/>
      <c r="J26" s="36"/>
      <c r="K26" s="36"/>
      <c r="L26" s="36"/>
      <c r="M26" s="36"/>
      <c r="N26" s="36"/>
      <c r="O26" s="36"/>
      <c r="P26" s="36"/>
      <c r="Q26" s="36"/>
      <c r="R26" s="36"/>
      <c r="S26" s="36"/>
      <c r="T26" s="36"/>
      <c r="U26" s="36"/>
      <c r="V26" s="36"/>
      <c r="W26" s="36"/>
      <c r="X26" s="36"/>
      <c r="Y26" s="36"/>
      <c r="Z26" s="36"/>
      <c r="AA26" s="39">
        <f t="shared" si="11"/>
        <v>21</v>
      </c>
      <c r="AB26" s="40">
        <f t="shared" si="0"/>
        <v>1458.1351021279463</v>
      </c>
      <c r="AC26" s="40">
        <f t="shared" si="5"/>
        <v>41.280002431617774</v>
      </c>
      <c r="AD26" s="40">
        <f t="shared" si="6"/>
        <v>69.43500486323555</v>
      </c>
      <c r="AE26" s="48">
        <f t="shared" si="1"/>
        <v>1260</v>
      </c>
      <c r="AF26" s="40">
        <f t="shared" si="2"/>
        <v>-198.1351021279463</v>
      </c>
      <c r="AG26" s="41">
        <f t="shared" si="3"/>
        <v>-1000000</v>
      </c>
      <c r="AH26" s="36"/>
      <c r="AI26" s="4"/>
      <c r="AJ26" s="4"/>
      <c r="AK26" s="4"/>
      <c r="AL26" s="4"/>
      <c r="AM26" s="4"/>
      <c r="AN26" s="4"/>
      <c r="AO26" s="4"/>
      <c r="AP26" s="4"/>
      <c r="AQ26" s="4"/>
      <c r="AR26" s="4"/>
      <c r="AS26" s="4"/>
    </row>
    <row r="27" spans="1:45" s="2" customFormat="1" ht="13.5" customHeight="1">
      <c r="A27" s="35"/>
      <c r="B27" s="35"/>
      <c r="C27" s="35"/>
      <c r="D27" s="35"/>
      <c r="E27" s="36"/>
      <c r="F27" s="35"/>
      <c r="G27" s="35"/>
      <c r="H27" s="35"/>
      <c r="I27" s="36"/>
      <c r="J27" s="36"/>
      <c r="K27" s="36"/>
      <c r="L27" s="36"/>
      <c r="M27" s="36"/>
      <c r="N27" s="36"/>
      <c r="O27" s="36"/>
      <c r="P27" s="36"/>
      <c r="Q27" s="36"/>
      <c r="R27" s="36"/>
      <c r="S27" s="36"/>
      <c r="T27" s="36"/>
      <c r="U27" s="36"/>
      <c r="V27" s="36"/>
      <c r="W27" s="36"/>
      <c r="X27" s="36"/>
      <c r="Y27" s="36"/>
      <c r="Z27" s="36"/>
      <c r="AA27" s="39">
        <f t="shared" si="11"/>
        <v>25</v>
      </c>
      <c r="AB27" s="40">
        <f t="shared" si="0"/>
        <v>1620.9203183331929</v>
      </c>
      <c r="AC27" s="40">
        <f t="shared" si="5"/>
        <v>40.23090636666386</v>
      </c>
      <c r="AD27" s="40">
        <f t="shared" si="6"/>
        <v>64.83681273332772</v>
      </c>
      <c r="AE27" s="48">
        <f t="shared" si="1"/>
        <v>1500</v>
      </c>
      <c r="AF27" s="40">
        <f t="shared" si="2"/>
        <v>-120.92031833319288</v>
      </c>
      <c r="AG27" s="41">
        <f t="shared" si="3"/>
        <v>-1000000</v>
      </c>
      <c r="AH27" s="36"/>
      <c r="AI27" s="4"/>
      <c r="AJ27" s="4"/>
      <c r="AK27" s="4"/>
      <c r="AL27" s="4"/>
      <c r="AM27" s="4"/>
      <c r="AN27" s="4"/>
      <c r="AO27" s="4"/>
      <c r="AP27" s="4"/>
      <c r="AQ27" s="4"/>
      <c r="AR27" s="4"/>
      <c r="AS27" s="4"/>
    </row>
    <row r="28" spans="1:45" s="2" customFormat="1" ht="13.5" customHeight="1">
      <c r="A28" s="35"/>
      <c r="B28" s="35"/>
      <c r="C28" s="35"/>
      <c r="D28" s="35"/>
      <c r="E28" s="36"/>
      <c r="F28" s="36"/>
      <c r="G28" s="36"/>
      <c r="H28" s="36"/>
      <c r="I28" s="36"/>
      <c r="J28" s="36"/>
      <c r="K28" s="36"/>
      <c r="L28" s="36"/>
      <c r="M28" s="36"/>
      <c r="N28" s="36"/>
      <c r="O28" s="36"/>
      <c r="P28" s="36"/>
      <c r="Q28" s="36"/>
      <c r="R28" s="36"/>
      <c r="S28" s="36"/>
      <c r="T28" s="36"/>
      <c r="U28" s="36"/>
      <c r="V28" s="36"/>
      <c r="W28" s="36"/>
      <c r="X28" s="36"/>
      <c r="Y28" s="36"/>
      <c r="Z28" s="36"/>
      <c r="AA28" s="39">
        <f t="shared" si="11"/>
        <v>29</v>
      </c>
      <c r="AB28" s="40">
        <f t="shared" si="0"/>
        <v>1780.7542771723058</v>
      </c>
      <c r="AC28" s="40">
        <f t="shared" si="5"/>
        <v>39.76515995124665</v>
      </c>
      <c r="AD28" s="40">
        <f t="shared" si="6"/>
        <v>61.405319902493304</v>
      </c>
      <c r="AE28" s="48">
        <f t="shared" si="1"/>
        <v>1740</v>
      </c>
      <c r="AF28" s="40">
        <f t="shared" si="2"/>
        <v>-40.75427717230582</v>
      </c>
      <c r="AG28" s="41">
        <f t="shared" si="3"/>
        <v>-1000000</v>
      </c>
      <c r="AH28" s="36"/>
      <c r="AI28" s="4"/>
      <c r="AJ28" s="4"/>
      <c r="AK28" s="4"/>
      <c r="AL28" s="4"/>
      <c r="AM28" s="4"/>
      <c r="AN28" s="4"/>
      <c r="AO28" s="4"/>
      <c r="AP28" s="4"/>
      <c r="AQ28" s="4"/>
      <c r="AR28" s="4"/>
      <c r="AS28" s="4"/>
    </row>
    <row r="29" spans="1:45" s="2" customFormat="1" ht="13.5" customHeight="1">
      <c r="A29" s="35"/>
      <c r="B29" s="35"/>
      <c r="C29" s="35"/>
      <c r="D29" s="35"/>
      <c r="E29" s="36"/>
      <c r="F29" s="36"/>
      <c r="G29" s="36"/>
      <c r="H29" s="36"/>
      <c r="I29" s="36"/>
      <c r="J29" s="36"/>
      <c r="K29" s="36"/>
      <c r="L29" s="36"/>
      <c r="M29" s="36"/>
      <c r="N29" s="36"/>
      <c r="O29" s="36"/>
      <c r="P29" s="36"/>
      <c r="Q29" s="36"/>
      <c r="R29" s="36"/>
      <c r="S29" s="36"/>
      <c r="T29" s="36"/>
      <c r="U29" s="36"/>
      <c r="V29" s="36"/>
      <c r="W29" s="36"/>
      <c r="X29" s="36"/>
      <c r="Y29" s="36"/>
      <c r="Z29" s="36"/>
      <c r="AA29" s="39">
        <f t="shared" si="11"/>
        <v>33</v>
      </c>
      <c r="AB29" s="40">
        <f t="shared" si="0"/>
        <v>1939.5726771553504</v>
      </c>
      <c r="AC29" s="40">
        <f t="shared" si="5"/>
        <v>39.6999648053841</v>
      </c>
      <c r="AD29" s="40">
        <f t="shared" si="6"/>
        <v>58.7749296107682</v>
      </c>
      <c r="AE29" s="48">
        <f t="shared" si="1"/>
        <v>1980</v>
      </c>
      <c r="AF29" s="40">
        <f t="shared" si="2"/>
        <v>40.42732284464955</v>
      </c>
      <c r="AG29" s="41">
        <f t="shared" si="3"/>
        <v>-1000000</v>
      </c>
      <c r="AH29" s="36"/>
      <c r="AI29" s="4"/>
      <c r="AJ29" s="4"/>
      <c r="AK29" s="4"/>
      <c r="AL29" s="4"/>
      <c r="AM29" s="4"/>
      <c r="AN29" s="4"/>
      <c r="AO29" s="4"/>
      <c r="AP29" s="4"/>
      <c r="AQ29" s="4"/>
      <c r="AR29" s="4"/>
      <c r="AS29" s="4"/>
    </row>
    <row r="30" spans="1:45" ht="13.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9">
        <f t="shared" si="11"/>
        <v>37</v>
      </c>
      <c r="AB30" s="40">
        <f t="shared" si="0"/>
        <v>2098.737734498059</v>
      </c>
      <c r="AC30" s="40">
        <f t="shared" si="5"/>
        <v>39.92382073646026</v>
      </c>
      <c r="AD30" s="40">
        <f t="shared" si="6"/>
        <v>56.722641472920515</v>
      </c>
      <c r="AE30" s="48">
        <f t="shared" si="1"/>
        <v>2220</v>
      </c>
      <c r="AF30" s="40">
        <f t="shared" si="2"/>
        <v>121.26226550194087</v>
      </c>
      <c r="AG30" s="41">
        <f t="shared" si="3"/>
        <v>-1000000</v>
      </c>
      <c r="AH30" s="35"/>
      <c r="AI30" s="8"/>
      <c r="AJ30" s="8"/>
      <c r="AK30" s="8"/>
      <c r="AL30" s="8"/>
      <c r="AM30" s="8"/>
      <c r="AN30" s="8"/>
      <c r="AO30" s="8"/>
      <c r="AP30" s="8"/>
      <c r="AQ30" s="8"/>
      <c r="AR30" s="8"/>
      <c r="AS30" s="8"/>
    </row>
    <row r="31" spans="1:45" ht="13.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9">
        <f t="shared" si="11"/>
        <v>41</v>
      </c>
      <c r="AB31" s="40">
        <f t="shared" si="0"/>
        <v>2259.2511417701803</v>
      </c>
      <c r="AC31" s="40">
        <f t="shared" si="5"/>
        <v>40.364343192319275</v>
      </c>
      <c r="AD31" s="40">
        <f t="shared" si="6"/>
        <v>55.10368638463855</v>
      </c>
      <c r="AE31" s="48">
        <f t="shared" si="1"/>
        <v>2460</v>
      </c>
      <c r="AF31" s="40">
        <f t="shared" si="2"/>
        <v>200.7488582298197</v>
      </c>
      <c r="AG31" s="41">
        <f t="shared" si="3"/>
        <v>-1000000</v>
      </c>
      <c r="AH31" s="35"/>
      <c r="AI31" s="8"/>
      <c r="AJ31" s="8"/>
      <c r="AK31" s="8"/>
      <c r="AL31" s="8"/>
      <c r="AM31" s="8"/>
      <c r="AN31" s="8"/>
      <c r="AO31" s="8"/>
      <c r="AP31" s="8"/>
      <c r="AQ31" s="8"/>
      <c r="AR31" s="8"/>
      <c r="AS31" s="8"/>
    </row>
    <row r="32" spans="1:45" ht="13.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9">
        <f t="shared" si="11"/>
        <v>45</v>
      </c>
      <c r="AB32" s="40">
        <f t="shared" si="0"/>
        <v>2421.875</v>
      </c>
      <c r="AC32" s="40">
        <f t="shared" si="5"/>
        <v>40.97222222222222</v>
      </c>
      <c r="AD32" s="40">
        <f t="shared" si="6"/>
        <v>53.81944444444444</v>
      </c>
      <c r="AE32" s="48">
        <f t="shared" si="1"/>
        <v>2700</v>
      </c>
      <c r="AF32" s="40">
        <f t="shared" si="2"/>
        <v>278.125</v>
      </c>
      <c r="AG32" s="41">
        <f t="shared" si="3"/>
        <v>-1000000</v>
      </c>
      <c r="AH32" s="35"/>
      <c r="AI32" s="8"/>
      <c r="AJ32" s="8"/>
      <c r="AK32" s="8"/>
      <c r="AL32" s="8"/>
      <c r="AM32" s="8"/>
      <c r="AN32" s="8"/>
      <c r="AO32" s="8"/>
      <c r="AP32" s="8"/>
      <c r="AQ32" s="8"/>
      <c r="AR32" s="8"/>
      <c r="AS32" s="8"/>
    </row>
    <row r="33" spans="1:45" ht="13.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9">
        <f t="shared" si="11"/>
        <v>49</v>
      </c>
      <c r="AB33" s="40">
        <f t="shared" si="0"/>
        <v>2587.205112333137</v>
      </c>
      <c r="AC33" s="40">
        <f t="shared" si="5"/>
        <v>41.712552166664665</v>
      </c>
      <c r="AD33" s="40">
        <f t="shared" si="6"/>
        <v>52.80010433332932</v>
      </c>
      <c r="AE33" s="48">
        <f t="shared" si="1"/>
        <v>2940</v>
      </c>
      <c r="AF33" s="40">
        <f t="shared" si="2"/>
        <v>352.7948876668629</v>
      </c>
      <c r="AG33" s="41">
        <f t="shared" si="3"/>
        <v>-1000000</v>
      </c>
      <c r="AH33" s="35"/>
      <c r="AI33" s="8"/>
      <c r="AJ33" s="8"/>
      <c r="AK33" s="8"/>
      <c r="AL33" s="8"/>
      <c r="AM33" s="8"/>
      <c r="AN33" s="8"/>
      <c r="AO33" s="8"/>
      <c r="AP33" s="8"/>
      <c r="AQ33" s="8"/>
      <c r="AR33" s="8"/>
      <c r="AS33" s="8"/>
    </row>
    <row r="34" spans="1:45" ht="13.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9">
        <f t="shared" si="11"/>
        <v>53</v>
      </c>
      <c r="AB34" s="40">
        <f aca="true" t="shared" si="12" ref="AB34:AB55">AJ$1*AA34^2+AJ$2*AA34^0.5</f>
        <v>2755.7177461466276</v>
      </c>
      <c r="AC34" s="40">
        <f t="shared" si="5"/>
        <v>42.559837227798376</v>
      </c>
      <c r="AD34" s="40">
        <f t="shared" si="6"/>
        <v>51.99467445559675</v>
      </c>
      <c r="AE34" s="48">
        <f aca="true" t="shared" si="13" ref="AE34:AE55">$C$5*AA34</f>
        <v>3180</v>
      </c>
      <c r="AF34" s="40">
        <f aca="true" t="shared" si="14" ref="AF34:AF55">AE34-AB34</f>
        <v>424.28225385337237</v>
      </c>
      <c r="AG34" s="41">
        <f aca="true" t="shared" si="15" ref="AG34:AG55">IF(AF34=AF$56,10000,-1000000)</f>
        <v>-1000000</v>
      </c>
      <c r="AH34" s="35"/>
      <c r="AI34" s="8"/>
      <c r="AJ34" s="8"/>
      <c r="AK34" s="8"/>
      <c r="AL34" s="8"/>
      <c r="AM34" s="8"/>
      <c r="AN34" s="8"/>
      <c r="AO34" s="8"/>
      <c r="AP34" s="8"/>
      <c r="AQ34" s="8"/>
      <c r="AR34" s="8"/>
      <c r="AS34" s="8"/>
    </row>
    <row r="35" spans="1:45" ht="13.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9">
        <f t="shared" si="11"/>
        <v>57</v>
      </c>
      <c r="AB35" s="40">
        <f t="shared" si="12"/>
        <v>2927.800735484551</v>
      </c>
      <c r="AC35" s="40">
        <f aca="true" t="shared" si="16" ref="AC35:AC55">2*AJ$1*AA35+0.5*AJ$2*AA35^-0.5</f>
        <v>43.494962591969745</v>
      </c>
      <c r="AD35" s="40">
        <f aca="true" t="shared" si="17" ref="AD35:AD55">AJ$1*AA35+AJ$2*AA35^-0.5</f>
        <v>51.36492518393949</v>
      </c>
      <c r="AE35" s="48">
        <f t="shared" si="13"/>
        <v>3420</v>
      </c>
      <c r="AF35" s="40">
        <f t="shared" si="14"/>
        <v>492.19926451544916</v>
      </c>
      <c r="AG35" s="41">
        <f t="shared" si="15"/>
        <v>-1000000</v>
      </c>
      <c r="AH35" s="35"/>
      <c r="AI35" s="8"/>
      <c r="AJ35" s="8"/>
      <c r="AK35" s="8"/>
      <c r="AL35" s="8"/>
      <c r="AM35" s="8"/>
      <c r="AN35" s="8"/>
      <c r="AO35" s="8"/>
      <c r="AP35" s="8"/>
      <c r="AQ35" s="8"/>
      <c r="AR35" s="8"/>
      <c r="AS35" s="8"/>
    </row>
    <row r="36" spans="1:45" ht="13.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9">
        <f t="shared" si="11"/>
        <v>61</v>
      </c>
      <c r="AB36" s="40">
        <f t="shared" si="12"/>
        <v>3103.774892876397</v>
      </c>
      <c r="AC36" s="40">
        <f t="shared" si="16"/>
        <v>44.50327781046227</v>
      </c>
      <c r="AD36" s="40">
        <f t="shared" si="17"/>
        <v>50.881555620924544</v>
      </c>
      <c r="AE36" s="48">
        <f t="shared" si="13"/>
        <v>3660</v>
      </c>
      <c r="AF36" s="40">
        <f t="shared" si="14"/>
        <v>556.2251071236028</v>
      </c>
      <c r="AG36" s="41">
        <f t="shared" si="15"/>
        <v>-1000000</v>
      </c>
      <c r="AH36" s="35"/>
      <c r="AI36" s="8"/>
      <c r="AJ36" s="8"/>
      <c r="AK36" s="8"/>
      <c r="AL36" s="8"/>
      <c r="AM36" s="8"/>
      <c r="AN36" s="8"/>
      <c r="AO36" s="8"/>
      <c r="AP36" s="8"/>
      <c r="AQ36" s="8"/>
      <c r="AR36" s="8"/>
      <c r="AS36" s="8"/>
    </row>
    <row r="37" spans="1:45" ht="13.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9">
        <f t="shared" si="11"/>
        <v>65</v>
      </c>
      <c r="AB37" s="40">
        <f t="shared" si="12"/>
        <v>3283.909183642659</v>
      </c>
      <c r="AC37" s="40">
        <f t="shared" si="16"/>
        <v>45.57333987417431</v>
      </c>
      <c r="AD37" s="40">
        <f t="shared" si="17"/>
        <v>50.5216797483486</v>
      </c>
      <c r="AE37" s="48">
        <f t="shared" si="13"/>
        <v>3900</v>
      </c>
      <c r="AF37" s="40">
        <f t="shared" si="14"/>
        <v>616.0908163573408</v>
      </c>
      <c r="AG37" s="41">
        <f t="shared" si="15"/>
        <v>-1000000</v>
      </c>
      <c r="AH37" s="35"/>
      <c r="AI37" s="8"/>
      <c r="AJ37" s="8"/>
      <c r="AK37" s="8"/>
      <c r="AL37" s="8"/>
      <c r="AM37" s="8"/>
      <c r="AN37" s="8"/>
      <c r="AO37" s="8"/>
      <c r="AP37" s="8"/>
      <c r="AQ37" s="8"/>
      <c r="AR37" s="8"/>
      <c r="AS37" s="8"/>
    </row>
    <row r="38" spans="1:45" ht="13.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9">
        <f t="shared" si="11"/>
        <v>69</v>
      </c>
      <c r="AB38" s="40">
        <f t="shared" si="12"/>
        <v>3468.431749467561</v>
      </c>
      <c r="AC38" s="40">
        <f t="shared" si="16"/>
        <v>46.696063401938844</v>
      </c>
      <c r="AD38" s="40">
        <f t="shared" si="17"/>
        <v>50.267126803877694</v>
      </c>
      <c r="AE38" s="48">
        <f t="shared" si="13"/>
        <v>4140</v>
      </c>
      <c r="AF38" s="40">
        <f t="shared" si="14"/>
        <v>671.5682505324389</v>
      </c>
      <c r="AG38" s="41">
        <f t="shared" si="15"/>
        <v>-1000000</v>
      </c>
      <c r="AH38" s="35"/>
      <c r="AI38" s="8"/>
      <c r="AJ38" s="8"/>
      <c r="AK38" s="8"/>
      <c r="AL38" s="8"/>
      <c r="AM38" s="8"/>
      <c r="AN38" s="8"/>
      <c r="AO38" s="8"/>
      <c r="AP38" s="8"/>
      <c r="AQ38" s="8"/>
      <c r="AR38" s="8"/>
      <c r="AS38" s="8"/>
    </row>
    <row r="39" spans="1:45" ht="13.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9">
        <f t="shared" si="11"/>
        <v>73</v>
      </c>
      <c r="AB39" s="40">
        <f t="shared" si="12"/>
        <v>3657.5380899390398</v>
      </c>
      <c r="AC39" s="40">
        <f t="shared" si="16"/>
        <v>47.864130753007124</v>
      </c>
      <c r="AD39" s="40">
        <f t="shared" si="17"/>
        <v>50.10326150601425</v>
      </c>
      <c r="AE39" s="48">
        <f t="shared" si="13"/>
        <v>4380</v>
      </c>
      <c r="AF39" s="40">
        <f t="shared" si="14"/>
        <v>722.4619100609602</v>
      </c>
      <c r="AG39" s="41">
        <f t="shared" si="15"/>
        <v>-1000000</v>
      </c>
      <c r="AH39" s="35"/>
      <c r="AI39" s="8"/>
      <c r="AJ39" s="8"/>
      <c r="AK39" s="8"/>
      <c r="AL39" s="8"/>
      <c r="AM39" s="8"/>
      <c r="AN39" s="8"/>
      <c r="AO39" s="8"/>
      <c r="AP39" s="8"/>
      <c r="AQ39" s="8"/>
      <c r="AR39" s="8"/>
      <c r="AS39" s="8"/>
    </row>
    <row r="40" spans="1:45" ht="13.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9">
        <f t="shared" si="11"/>
        <v>77</v>
      </c>
      <c r="AB40" s="40">
        <f t="shared" si="12"/>
        <v>3851.3972493798115</v>
      </c>
      <c r="AC40" s="40">
        <f t="shared" si="16"/>
        <v>49.07157304792085</v>
      </c>
      <c r="AD40" s="40">
        <f t="shared" si="17"/>
        <v>50.0181460958417</v>
      </c>
      <c r="AE40" s="48">
        <f t="shared" si="13"/>
        <v>4620</v>
      </c>
      <c r="AF40" s="40">
        <f t="shared" si="14"/>
        <v>768.6027506201885</v>
      </c>
      <c r="AG40" s="41">
        <f t="shared" si="15"/>
        <v>-1000000</v>
      </c>
      <c r="AH40" s="35"/>
      <c r="AI40" s="8"/>
      <c r="AJ40" s="8"/>
      <c r="AK40" s="8"/>
      <c r="AL40" s="8"/>
      <c r="AM40" s="8"/>
      <c r="AN40" s="8"/>
      <c r="AO40" s="8"/>
      <c r="AP40" s="8"/>
      <c r="AQ40" s="8"/>
      <c r="AR40" s="8"/>
      <c r="AS40" s="8"/>
    </row>
    <row r="41" spans="1:45" ht="13.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9">
        <f t="shared" si="11"/>
        <v>81</v>
      </c>
      <c r="AB41" s="40">
        <f t="shared" si="12"/>
        <v>4050.1565729997474</v>
      </c>
      <c r="AC41" s="40">
        <f t="shared" si="16"/>
        <v>50.31346649999844</v>
      </c>
      <c r="AD41" s="40">
        <f t="shared" si="17"/>
        <v>50.00193299999688</v>
      </c>
      <c r="AE41" s="48">
        <f t="shared" si="13"/>
        <v>4860</v>
      </c>
      <c r="AF41" s="40">
        <f t="shared" si="14"/>
        <v>809.8434270002526</v>
      </c>
      <c r="AG41" s="41">
        <f t="shared" si="15"/>
        <v>-1000000</v>
      </c>
      <c r="AH41" s="35"/>
      <c r="AI41" s="8"/>
      <c r="AJ41" s="8"/>
      <c r="AK41" s="8"/>
      <c r="AL41" s="8"/>
      <c r="AM41" s="8"/>
      <c r="AN41" s="8"/>
      <c r="AO41" s="8"/>
      <c r="AP41" s="8"/>
      <c r="AQ41" s="8"/>
      <c r="AR41" s="8"/>
      <c r="AS41" s="8"/>
    </row>
    <row r="42" spans="1:45" ht="13.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9">
        <f t="shared" si="11"/>
        <v>85</v>
      </c>
      <c r="AB42" s="40">
        <f t="shared" si="12"/>
        <v>4253.94541707844</v>
      </c>
      <c r="AC42" s="40">
        <f t="shared" si="16"/>
        <v>51.585708335755534</v>
      </c>
      <c r="AD42" s="40">
        <f t="shared" si="17"/>
        <v>50.04641667151106</v>
      </c>
      <c r="AE42" s="48">
        <f t="shared" si="13"/>
        <v>5100</v>
      </c>
      <c r="AF42" s="40">
        <f t="shared" si="14"/>
        <v>846.0545829215598</v>
      </c>
      <c r="AG42" s="41">
        <f t="shared" si="15"/>
        <v>-1000000</v>
      </c>
      <c r="AH42" s="35"/>
      <c r="AI42" s="8"/>
      <c r="AJ42" s="8"/>
      <c r="AK42" s="8"/>
      <c r="AL42" s="8"/>
      <c r="AM42" s="8"/>
      <c r="AN42" s="8"/>
      <c r="AO42" s="8"/>
      <c r="AP42" s="8"/>
      <c r="AQ42" s="8"/>
      <c r="AR42" s="8"/>
      <c r="AS42" s="8"/>
    </row>
    <row r="43" spans="1:45" ht="13.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9">
        <f t="shared" si="11"/>
        <v>89</v>
      </c>
      <c r="AB43" s="40">
        <f t="shared" si="12"/>
        <v>4462.878081297198</v>
      </c>
      <c r="AC43" s="40">
        <f t="shared" si="16"/>
        <v>52.88484877133258</v>
      </c>
      <c r="AD43" s="40">
        <f t="shared" si="17"/>
        <v>50.14469754266515</v>
      </c>
      <c r="AE43" s="48">
        <f t="shared" si="13"/>
        <v>5340</v>
      </c>
      <c r="AF43" s="40">
        <f t="shared" si="14"/>
        <v>877.1219187028018</v>
      </c>
      <c r="AG43" s="41">
        <f t="shared" si="15"/>
        <v>-1000000</v>
      </c>
      <c r="AH43" s="35"/>
      <c r="AI43" s="8"/>
      <c r="AJ43" s="8"/>
      <c r="AK43" s="8"/>
      <c r="AL43" s="8"/>
      <c r="AM43" s="8"/>
      <c r="AN43" s="8"/>
      <c r="AO43" s="8"/>
      <c r="AP43" s="8"/>
      <c r="AQ43" s="8"/>
      <c r="AR43" s="8"/>
      <c r="AS43" s="8"/>
    </row>
    <row r="44" spans="1:45" ht="13.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9">
        <f t="shared" si="11"/>
        <v>93</v>
      </c>
      <c r="AB44" s="40">
        <f t="shared" si="12"/>
        <v>4677.056153713043</v>
      </c>
      <c r="AC44" s="40">
        <f t="shared" si="16"/>
        <v>54.20796319200561</v>
      </c>
      <c r="AD44" s="40">
        <f t="shared" si="17"/>
        <v>50.290926384011215</v>
      </c>
      <c r="AE44" s="48">
        <f t="shared" si="13"/>
        <v>5580</v>
      </c>
      <c r="AF44" s="40">
        <f t="shared" si="14"/>
        <v>902.9438462869566</v>
      </c>
      <c r="AG44" s="41">
        <f t="shared" si="15"/>
        <v>-1000000</v>
      </c>
      <c r="AH44" s="35"/>
      <c r="AI44" s="8"/>
      <c r="AJ44" s="8"/>
      <c r="AK44" s="8"/>
      <c r="AL44" s="8"/>
      <c r="AM44" s="8"/>
      <c r="AN44" s="8"/>
      <c r="AO44" s="8"/>
      <c r="AP44" s="8"/>
      <c r="AQ44" s="8"/>
      <c r="AR44" s="8"/>
      <c r="AS44" s="8"/>
    </row>
    <row r="45" spans="1:45" ht="13.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9">
        <f t="shared" si="11"/>
        <v>97</v>
      </c>
      <c r="AB45" s="40">
        <f t="shared" si="12"/>
        <v>4896.5704060726985</v>
      </c>
      <c r="AC45" s="40">
        <f t="shared" si="16"/>
        <v>55.55255363955</v>
      </c>
      <c r="AD45" s="40">
        <f t="shared" si="17"/>
        <v>50.48010727909999</v>
      </c>
      <c r="AE45" s="48">
        <f t="shared" si="13"/>
        <v>5820</v>
      </c>
      <c r="AF45" s="40">
        <f t="shared" si="14"/>
        <v>923.4295939273015</v>
      </c>
      <c r="AG45" s="41">
        <f t="shared" si="15"/>
        <v>-1000000</v>
      </c>
      <c r="AH45" s="35"/>
      <c r="AI45" s="8"/>
      <c r="AJ45" s="8"/>
      <c r="AK45" s="8"/>
      <c r="AL45" s="8"/>
      <c r="AM45" s="8"/>
      <c r="AN45" s="8"/>
      <c r="AO45" s="8"/>
      <c r="AP45" s="8"/>
      <c r="AQ45" s="8"/>
      <c r="AR45" s="8"/>
      <c r="AS45" s="8"/>
    </row>
    <row r="46" spans="1:45" ht="13.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9">
        <f t="shared" si="11"/>
        <v>101</v>
      </c>
      <c r="AB46" s="40">
        <f t="shared" si="12"/>
        <v>5121.502340565898</v>
      </c>
      <c r="AC46" s="40">
        <f t="shared" si="16"/>
        <v>56.9164719829995</v>
      </c>
      <c r="AD46" s="40">
        <f t="shared" si="17"/>
        <v>50.707943965998986</v>
      </c>
      <c r="AE46" s="48">
        <f t="shared" si="13"/>
        <v>6060</v>
      </c>
      <c r="AF46" s="40">
        <f t="shared" si="14"/>
        <v>938.4976594341024</v>
      </c>
      <c r="AG46" s="41">
        <f t="shared" si="15"/>
        <v>-1000000</v>
      </c>
      <c r="AH46" s="35"/>
      <c r="AI46" s="8"/>
      <c r="AJ46" s="8"/>
      <c r="AK46" s="8"/>
      <c r="AL46" s="8"/>
      <c r="AM46" s="8"/>
      <c r="AN46" s="8"/>
      <c r="AO46" s="8"/>
      <c r="AP46" s="8"/>
      <c r="AQ46" s="8"/>
      <c r="AR46" s="8"/>
      <c r="AS46" s="8"/>
    </row>
    <row r="47" spans="1:45" ht="13.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9">
        <f t="shared" si="11"/>
        <v>105</v>
      </c>
      <c r="AB47" s="40">
        <f t="shared" si="12"/>
        <v>5351.925463303893</v>
      </c>
      <c r="AC47" s="40">
        <f t="shared" si="16"/>
        <v>58.29785934906616</v>
      </c>
      <c r="AD47" s="40">
        <f t="shared" si="17"/>
        <v>50.970718698132316</v>
      </c>
      <c r="AE47" s="48">
        <f t="shared" si="13"/>
        <v>6300</v>
      </c>
      <c r="AF47" s="40">
        <f t="shared" si="14"/>
        <v>948.0745366961073</v>
      </c>
      <c r="AG47" s="41">
        <f t="shared" si="15"/>
        <v>-1000000</v>
      </c>
      <c r="AH47" s="35"/>
      <c r="AI47" s="8"/>
      <c r="AJ47" s="8"/>
      <c r="AK47" s="8"/>
      <c r="AL47" s="8"/>
      <c r="AM47" s="8"/>
      <c r="AN47" s="8"/>
      <c r="AO47" s="8"/>
      <c r="AP47" s="8"/>
      <c r="AQ47" s="8"/>
      <c r="AR47" s="8"/>
      <c r="AS47" s="8"/>
    </row>
    <row r="48" spans="1:45" ht="13.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9">
        <f t="shared" si="11"/>
        <v>109</v>
      </c>
      <c r="AB48" s="40">
        <f t="shared" si="12"/>
        <v>5587.906341314334</v>
      </c>
      <c r="AC48" s="40">
        <f t="shared" si="16"/>
        <v>59.695097895937316</v>
      </c>
      <c r="AD48" s="40">
        <f t="shared" si="17"/>
        <v>51.26519579187462</v>
      </c>
      <c r="AE48" s="48">
        <f t="shared" si="13"/>
        <v>6540</v>
      </c>
      <c r="AF48" s="40">
        <f t="shared" si="14"/>
        <v>952.093658685666</v>
      </c>
      <c r="AG48" s="41">
        <f t="shared" si="15"/>
        <v>10000</v>
      </c>
      <c r="AH48" s="35"/>
      <c r="AI48" s="8"/>
      <c r="AJ48" s="8"/>
      <c r="AK48" s="8"/>
      <c r="AL48" s="8"/>
      <c r="AM48" s="8"/>
      <c r="AN48" s="8"/>
      <c r="AO48" s="8"/>
      <c r="AP48" s="8"/>
      <c r="AQ48" s="8"/>
      <c r="AR48" s="8"/>
      <c r="AS48" s="8"/>
    </row>
    <row r="49" spans="1:45" ht="13.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9">
        <f t="shared" si="11"/>
        <v>113</v>
      </c>
      <c r="AB49" s="40">
        <f t="shared" si="12"/>
        <v>5829.505486401256</v>
      </c>
      <c r="AC49" s="40">
        <f t="shared" si="16"/>
        <v>61.106772063722374</v>
      </c>
      <c r="AD49" s="40">
        <f t="shared" si="17"/>
        <v>51.58854412744475</v>
      </c>
      <c r="AE49" s="48">
        <f t="shared" si="13"/>
        <v>6780</v>
      </c>
      <c r="AF49" s="40">
        <f t="shared" si="14"/>
        <v>950.4945135987437</v>
      </c>
      <c r="AG49" s="41">
        <f t="shared" si="15"/>
        <v>-1000000</v>
      </c>
      <c r="AH49" s="35"/>
      <c r="AI49" s="8"/>
      <c r="AJ49" s="8"/>
      <c r="AK49" s="8"/>
      <c r="AL49" s="8"/>
      <c r="AM49" s="8"/>
      <c r="AN49" s="8"/>
      <c r="AO49" s="8"/>
      <c r="AP49" s="8"/>
      <c r="AQ49" s="8"/>
      <c r="AR49" s="8"/>
      <c r="AS49" s="8"/>
    </row>
    <row r="50" spans="1:45" ht="13.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9">
        <f t="shared" si="11"/>
        <v>117</v>
      </c>
      <c r="AB50" s="40">
        <f t="shared" si="12"/>
        <v>6076.778099319419</v>
      </c>
      <c r="AC50" s="40">
        <f t="shared" si="16"/>
        <v>62.53163717657871</v>
      </c>
      <c r="AD50" s="40">
        <f t="shared" si="17"/>
        <v>51.93827435315743</v>
      </c>
      <c r="AE50" s="48">
        <f t="shared" si="13"/>
        <v>7020</v>
      </c>
      <c r="AF50" s="40">
        <f t="shared" si="14"/>
        <v>943.2219006805808</v>
      </c>
      <c r="AG50" s="41">
        <f t="shared" si="15"/>
        <v>-1000000</v>
      </c>
      <c r="AH50" s="35"/>
      <c r="AI50" s="8"/>
      <c r="AJ50" s="8"/>
      <c r="AK50" s="8"/>
      <c r="AL50" s="8"/>
      <c r="AM50" s="8"/>
      <c r="AN50" s="8"/>
      <c r="AO50" s="8"/>
      <c r="AP50" s="8"/>
      <c r="AQ50" s="8"/>
      <c r="AR50" s="8"/>
      <c r="AS50" s="8"/>
    </row>
    <row r="51" spans="1:45" ht="13.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9">
        <f t="shared" si="11"/>
        <v>121</v>
      </c>
      <c r="AB51" s="40">
        <f t="shared" si="12"/>
        <v>6329.774700333024</v>
      </c>
      <c r="AC51" s="40">
        <f t="shared" si="16"/>
        <v>63.96859380302903</v>
      </c>
      <c r="AD51" s="40">
        <f t="shared" si="17"/>
        <v>52.31218760605806</v>
      </c>
      <c r="AE51" s="48">
        <f t="shared" si="13"/>
        <v>7260</v>
      </c>
      <c r="AF51" s="40">
        <f t="shared" si="14"/>
        <v>930.2252996669758</v>
      </c>
      <c r="AG51" s="41">
        <f t="shared" si="15"/>
        <v>-1000000</v>
      </c>
      <c r="AH51" s="35"/>
      <c r="AI51" s="8"/>
      <c r="AJ51" s="8"/>
      <c r="AK51" s="8"/>
      <c r="AL51" s="8"/>
      <c r="AM51" s="8"/>
      <c r="AN51" s="8"/>
      <c r="AO51" s="8"/>
      <c r="AP51" s="8"/>
      <c r="AQ51" s="8"/>
      <c r="AR51" s="8"/>
      <c r="AS51" s="8"/>
    </row>
    <row r="52" spans="1:45" ht="13.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9">
        <f t="shared" si="11"/>
        <v>125</v>
      </c>
      <c r="AB52" s="40">
        <f t="shared" si="12"/>
        <v>6588.541666666666</v>
      </c>
      <c r="AC52" s="40">
        <f t="shared" si="16"/>
        <v>65.41666666666667</v>
      </c>
      <c r="AD52" s="40">
        <f t="shared" si="17"/>
        <v>52.70833333333333</v>
      </c>
      <c r="AE52" s="48">
        <f t="shared" si="13"/>
        <v>7500</v>
      </c>
      <c r="AF52" s="40">
        <f t="shared" si="14"/>
        <v>911.4583333333339</v>
      </c>
      <c r="AG52" s="41">
        <f t="shared" si="15"/>
        <v>-1000000</v>
      </c>
      <c r="AH52" s="35"/>
      <c r="AI52" s="8"/>
      <c r="AJ52" s="8"/>
      <c r="AK52" s="8"/>
      <c r="AL52" s="8"/>
      <c r="AM52" s="8"/>
      <c r="AN52" s="8"/>
      <c r="AO52" s="8"/>
      <c r="AP52" s="8"/>
      <c r="AQ52" s="8"/>
      <c r="AR52" s="8"/>
      <c r="AS52" s="8"/>
    </row>
    <row r="53" spans="1:45" ht="13.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9">
        <f t="shared" si="11"/>
        <v>129</v>
      </c>
      <c r="AB53" s="40">
        <f t="shared" si="12"/>
        <v>6853.121693120078</v>
      </c>
      <c r="AC53" s="40">
        <f t="shared" si="16"/>
        <v>66.87498718263596</v>
      </c>
      <c r="AD53" s="40">
        <f t="shared" si="17"/>
        <v>53.124974365271925</v>
      </c>
      <c r="AE53" s="48">
        <f t="shared" si="13"/>
        <v>7740</v>
      </c>
      <c r="AF53" s="40">
        <f t="shared" si="14"/>
        <v>886.8783068799221</v>
      </c>
      <c r="AG53" s="41">
        <f t="shared" si="15"/>
        <v>-1000000</v>
      </c>
      <c r="AH53" s="35"/>
      <c r="AI53" s="8"/>
      <c r="AJ53" s="8"/>
      <c r="AK53" s="8"/>
      <c r="AL53" s="8"/>
      <c r="AM53" s="8"/>
      <c r="AN53" s="8"/>
      <c r="AO53" s="8"/>
      <c r="AP53" s="8"/>
      <c r="AQ53" s="8"/>
      <c r="AR53" s="8"/>
      <c r="AS53" s="8"/>
    </row>
    <row r="54" spans="1:45" ht="13.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9">
        <f t="shared" si="11"/>
        <v>133</v>
      </c>
      <c r="AB54" s="40">
        <f t="shared" si="12"/>
        <v>7123.5541888607</v>
      </c>
      <c r="AC54" s="40">
        <f t="shared" si="16"/>
        <v>68.34277890549136</v>
      </c>
      <c r="AD54" s="40">
        <f t="shared" si="17"/>
        <v>53.56055781098271</v>
      </c>
      <c r="AE54" s="48">
        <f t="shared" si="13"/>
        <v>7980</v>
      </c>
      <c r="AF54" s="40">
        <f t="shared" si="14"/>
        <v>856.4458111392996</v>
      </c>
      <c r="AG54" s="41">
        <f t="shared" si="15"/>
        <v>-1000000</v>
      </c>
      <c r="AH54" s="35"/>
      <c r="AI54" s="8"/>
      <c r="AJ54" s="8"/>
      <c r="AK54" s="8"/>
      <c r="AL54" s="8"/>
      <c r="AM54" s="8"/>
      <c r="AN54" s="8"/>
      <c r="AO54" s="8"/>
      <c r="AP54" s="8"/>
      <c r="AQ54" s="8"/>
      <c r="AR54" s="8"/>
      <c r="AS54" s="8"/>
    </row>
    <row r="55" spans="1:45" ht="13.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9">
        <f t="shared" si="11"/>
        <v>137</v>
      </c>
      <c r="AB55" s="40">
        <f t="shared" si="12"/>
        <v>7399.875620880641</v>
      </c>
      <c r="AC55" s="40">
        <f t="shared" si="16"/>
        <v>69.81934533168118</v>
      </c>
      <c r="AD55" s="40">
        <f t="shared" si="17"/>
        <v>54.01369066336234</v>
      </c>
      <c r="AE55" s="48">
        <f t="shared" si="13"/>
        <v>8220</v>
      </c>
      <c r="AF55" s="40">
        <f t="shared" si="14"/>
        <v>820.1243791193592</v>
      </c>
      <c r="AG55" s="41">
        <f t="shared" si="15"/>
        <v>-1000000</v>
      </c>
      <c r="AH55" s="35"/>
      <c r="AI55" s="8"/>
      <c r="AJ55" s="8"/>
      <c r="AK55" s="8"/>
      <c r="AL55" s="8"/>
      <c r="AM55" s="8"/>
      <c r="AN55" s="8"/>
      <c r="AO55" s="8"/>
      <c r="AP55" s="8"/>
      <c r="AQ55" s="8"/>
      <c r="AR55" s="8"/>
      <c r="AS55" s="8"/>
    </row>
    <row r="56" spans="1:45" ht="13.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9"/>
      <c r="AB56" s="40"/>
      <c r="AC56" s="40"/>
      <c r="AD56" s="40"/>
      <c r="AE56" s="40"/>
      <c r="AF56" s="40">
        <f>MAX(AF2:AF55)</f>
        <v>952.093658685666</v>
      </c>
      <c r="AG56" s="41"/>
      <c r="AH56" s="35"/>
      <c r="AI56" s="8"/>
      <c r="AJ56" s="8"/>
      <c r="AK56" s="8"/>
      <c r="AL56" s="8"/>
      <c r="AM56" s="8"/>
      <c r="AN56" s="8"/>
      <c r="AO56" s="8"/>
      <c r="AP56" s="8"/>
      <c r="AQ56" s="8"/>
      <c r="AR56" s="8"/>
      <c r="AS56" s="8"/>
    </row>
    <row r="57" spans="1:45" ht="13.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8"/>
      <c r="AJ57" s="8"/>
      <c r="AK57" s="8"/>
      <c r="AL57" s="8"/>
      <c r="AM57" s="8"/>
      <c r="AN57" s="8"/>
      <c r="AO57" s="8"/>
      <c r="AP57" s="8"/>
      <c r="AQ57" s="8"/>
      <c r="AR57" s="8"/>
      <c r="AS57" s="8"/>
    </row>
    <row r="58" spans="1:45" ht="13.5" customHeight="1">
      <c r="A58" s="8"/>
      <c r="B58" s="8"/>
      <c r="C58" s="8"/>
      <c r="D58" s="8"/>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8"/>
      <c r="AJ58" s="8"/>
      <c r="AK58" s="8"/>
      <c r="AL58" s="8"/>
      <c r="AM58" s="8"/>
      <c r="AN58" s="8"/>
      <c r="AO58" s="8"/>
      <c r="AP58" s="8"/>
      <c r="AQ58" s="8"/>
      <c r="AR58" s="8"/>
      <c r="AS58" s="8"/>
    </row>
    <row r="59" spans="1:45"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row>
    <row r="60" spans="1:45"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row>
    <row r="61" spans="1:45"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row>
    <row r="62" spans="1:45"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row>
    <row r="63" spans="1:45"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row>
    <row r="64" spans="1:45"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row>
    <row r="65" spans="1:45"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row>
    <row r="66" spans="1:45"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row>
    <row r="67" spans="1:45"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row>
    <row r="68" spans="1:45"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row>
    <row r="69" spans="1:45"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row>
    <row r="70" spans="1:45"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row>
    <row r="71" spans="1:45"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row>
    <row r="72" spans="1:45"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row>
    <row r="73" spans="5:45" ht="13.5" customHeight="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row>
    <row r="74" spans="5:45" ht="13.5" customHeight="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row>
    <row r="75" spans="5:45" ht="13.5" customHeight="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row>
  </sheetData>
  <mergeCells count="6">
    <mergeCell ref="A20:B20"/>
    <mergeCell ref="A6:B6"/>
    <mergeCell ref="A3:B3"/>
    <mergeCell ref="A4:B4"/>
    <mergeCell ref="A5:B5"/>
    <mergeCell ref="A1:F1"/>
  </mergeCells>
  <printOptions/>
  <pageMargins left="0.25" right="0" top="1" bottom="1" header="0.5" footer="0.5"/>
  <pageSetup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codeName="Sheet51"/>
  <dimension ref="A1:AS150"/>
  <sheetViews>
    <sheetView workbookViewId="0" topLeftCell="A1">
      <selection activeCell="A1" sqref="A1:F1"/>
    </sheetView>
  </sheetViews>
  <sheetFormatPr defaultColWidth="9.140625" defaultRowHeight="15"/>
  <cols>
    <col min="1" max="1" width="12.57421875" style="0" customWidth="1"/>
    <col min="2" max="2" width="9.28125" style="0" customWidth="1"/>
    <col min="3" max="3" width="10.140625" style="0" bestFit="1" customWidth="1"/>
    <col min="4" max="8" width="9.28125" style="0" customWidth="1"/>
  </cols>
  <sheetData>
    <row r="1" spans="1:45" s="2" customFormat="1" ht="18" customHeight="1">
      <c r="A1" s="85" t="s">
        <v>89</v>
      </c>
      <c r="B1" s="85"/>
      <c r="C1" s="85"/>
      <c r="D1" s="85"/>
      <c r="E1" s="85"/>
      <c r="F1" s="85"/>
      <c r="G1" s="14"/>
      <c r="H1" s="14"/>
      <c r="I1" s="14"/>
      <c r="J1" s="14"/>
      <c r="K1" s="14"/>
      <c r="L1" s="14"/>
      <c r="M1" s="14"/>
      <c r="N1" s="14"/>
      <c r="O1" s="14"/>
      <c r="P1" s="14"/>
      <c r="Q1" s="14"/>
      <c r="R1" s="14"/>
      <c r="S1" s="14"/>
      <c r="T1" s="14"/>
      <c r="U1" s="14"/>
      <c r="V1" s="14"/>
      <c r="W1" s="14"/>
      <c r="X1" s="14"/>
      <c r="Y1" s="14"/>
      <c r="Z1" s="14"/>
      <c r="AA1" s="68" t="s">
        <v>29</v>
      </c>
      <c r="AB1" s="69" t="s">
        <v>5</v>
      </c>
      <c r="AC1" s="69" t="s">
        <v>7</v>
      </c>
      <c r="AD1" s="69" t="s">
        <v>10</v>
      </c>
      <c r="AE1" s="69" t="s">
        <v>31</v>
      </c>
      <c r="AF1" s="69" t="s">
        <v>36</v>
      </c>
      <c r="AG1" s="69" t="s">
        <v>37</v>
      </c>
      <c r="AH1" s="69" t="s">
        <v>38</v>
      </c>
      <c r="AI1" s="69" t="s">
        <v>39</v>
      </c>
      <c r="AJ1" s="69" t="s">
        <v>40</v>
      </c>
      <c r="AK1" s="70" t="s">
        <v>41</v>
      </c>
      <c r="AL1" s="12"/>
      <c r="AM1" s="12" t="s">
        <v>13</v>
      </c>
      <c r="AN1" s="12">
        <f>C4/(3*C3)</f>
        <v>0.20833333333333334</v>
      </c>
      <c r="AO1" s="12" t="s">
        <v>14</v>
      </c>
      <c r="AP1" s="14"/>
      <c r="AQ1" s="14"/>
      <c r="AR1" s="14"/>
      <c r="AS1" s="14"/>
    </row>
    <row r="2" spans="1:45" s="2" customFormat="1" ht="13.5" customHeight="1">
      <c r="A2" s="21"/>
      <c r="B2" s="21"/>
      <c r="C2" s="21"/>
      <c r="D2" s="12"/>
      <c r="E2" s="13"/>
      <c r="F2" s="13"/>
      <c r="G2" s="14"/>
      <c r="H2" s="14"/>
      <c r="I2" s="14"/>
      <c r="J2" s="14"/>
      <c r="K2" s="14"/>
      <c r="L2" s="14"/>
      <c r="M2" s="14"/>
      <c r="N2" s="14"/>
      <c r="O2" s="14"/>
      <c r="P2" s="14"/>
      <c r="Q2" s="14"/>
      <c r="R2" s="14"/>
      <c r="S2" s="14"/>
      <c r="T2" s="14"/>
      <c r="U2" s="14"/>
      <c r="V2" s="14"/>
      <c r="W2" s="14"/>
      <c r="X2" s="14"/>
      <c r="Y2" s="14"/>
      <c r="Z2" s="14"/>
      <c r="AA2" s="16">
        <v>0</v>
      </c>
      <c r="AB2" s="17">
        <f aca="true" t="shared" si="0" ref="AB2:AB33">AN$1*AA2^2+AN$2*AA2^0.5</f>
        <v>0</v>
      </c>
      <c r="AC2" s="17"/>
      <c r="AD2" s="17"/>
      <c r="AE2" s="17"/>
      <c r="AF2" s="17"/>
      <c r="AG2" s="17"/>
      <c r="AH2" s="34">
        <f aca="true" t="shared" si="1" ref="AH2:AH33">C$5</f>
        <v>60</v>
      </c>
      <c r="AI2" s="17">
        <f aca="true" t="shared" si="2" ref="AI2:AI33">IF($AA2&lt;=$C$10,C$11,-100000)</f>
        <v>51.188765527462344</v>
      </c>
      <c r="AJ2" s="34">
        <f aca="true" t="shared" si="3" ref="AJ2:AJ33">C$5</f>
        <v>60</v>
      </c>
      <c r="AK2" s="18">
        <f aca="true" t="shared" si="4" ref="AK2:AK33">IF(AI2&gt;0,C$5,-100000)</f>
        <v>60</v>
      </c>
      <c r="AL2" s="12"/>
      <c r="AM2" s="12" t="s">
        <v>15</v>
      </c>
      <c r="AN2" s="12">
        <f>(C4-AN1*C3)*C3^0.5</f>
        <v>298.14239699997194</v>
      </c>
      <c r="AO2" s="12" t="s">
        <v>16</v>
      </c>
      <c r="AP2" s="14"/>
      <c r="AQ2" s="14"/>
      <c r="AR2" s="14"/>
      <c r="AS2" s="14"/>
    </row>
    <row r="3" spans="1:45" s="2" customFormat="1" ht="13.5" customHeight="1">
      <c r="A3" s="83" t="s">
        <v>67</v>
      </c>
      <c r="B3" s="83"/>
      <c r="C3" s="9">
        <v>80</v>
      </c>
      <c r="D3" s="12"/>
      <c r="E3" s="13"/>
      <c r="F3" s="13"/>
      <c r="G3" s="14"/>
      <c r="H3" s="14"/>
      <c r="I3" s="14"/>
      <c r="J3" s="14"/>
      <c r="K3" s="14"/>
      <c r="L3" s="14"/>
      <c r="M3" s="14"/>
      <c r="N3" s="14"/>
      <c r="O3" s="14"/>
      <c r="P3" s="14"/>
      <c r="Q3" s="14"/>
      <c r="R3" s="14"/>
      <c r="S3" s="14"/>
      <c r="T3" s="14"/>
      <c r="U3" s="14"/>
      <c r="V3" s="14"/>
      <c r="W3" s="14"/>
      <c r="X3" s="14"/>
      <c r="Y3" s="14"/>
      <c r="Z3" s="14"/>
      <c r="AA3" s="16">
        <f aca="true" t="shared" si="5" ref="AA3:AA34">AA2+$C$6</f>
        <v>4</v>
      </c>
      <c r="AB3" s="17">
        <f t="shared" si="0"/>
        <v>599.6181273332772</v>
      </c>
      <c r="AC3" s="17">
        <f aca="true" t="shared" si="6" ref="AC3:AC34">2*AN$1*AA3+0.5*AN$2*AA3^-0.5</f>
        <v>76.20226591665966</v>
      </c>
      <c r="AD3" s="17">
        <f aca="true" t="shared" si="7" ref="AD3:AD34">AN$1*AA3+AN$2*AA3^-0.5</f>
        <v>149.9045318333193</v>
      </c>
      <c r="AE3" s="17">
        <f aca="true" t="shared" si="8" ref="AE3:AE34">(AH3-AD3)*AA3</f>
        <v>-359.61812733327724</v>
      </c>
      <c r="AF3" s="17">
        <f aca="true" t="shared" si="9" ref="AF3:AF34">IF(AE3&lt;AE$56,AA3,-1000000)</f>
        <v>4</v>
      </c>
      <c r="AG3" s="17">
        <f aca="true" t="shared" si="10" ref="AG3:AG34">IF(AF3&gt;0,-100000,AA3)</f>
        <v>-100000</v>
      </c>
      <c r="AH3" s="34">
        <f t="shared" si="1"/>
        <v>60</v>
      </c>
      <c r="AI3" s="17">
        <f t="shared" si="2"/>
        <v>51.188765527462344</v>
      </c>
      <c r="AJ3" s="34">
        <f t="shared" si="3"/>
        <v>60</v>
      </c>
      <c r="AK3" s="18">
        <f t="shared" si="4"/>
        <v>60</v>
      </c>
      <c r="AL3" s="12"/>
      <c r="AM3" s="12"/>
      <c r="AN3" s="12"/>
      <c r="AO3" s="12"/>
      <c r="AP3" s="14"/>
      <c r="AQ3" s="14"/>
      <c r="AR3" s="14"/>
      <c r="AS3" s="14"/>
    </row>
    <row r="4" spans="1:45" s="2" customFormat="1" ht="13.5" customHeight="1">
      <c r="A4" s="83" t="s">
        <v>68</v>
      </c>
      <c r="B4" s="83"/>
      <c r="C4" s="10">
        <v>50</v>
      </c>
      <c r="D4" s="12"/>
      <c r="E4" s="13"/>
      <c r="F4" s="13"/>
      <c r="G4" s="14"/>
      <c r="H4" s="14"/>
      <c r="I4" s="14"/>
      <c r="J4" s="14"/>
      <c r="K4" s="14"/>
      <c r="L4" s="14"/>
      <c r="M4" s="14"/>
      <c r="N4" s="14"/>
      <c r="O4" s="14"/>
      <c r="P4" s="14"/>
      <c r="Q4" s="14"/>
      <c r="R4" s="14"/>
      <c r="S4" s="14"/>
      <c r="T4" s="14"/>
      <c r="U4" s="14"/>
      <c r="V4" s="14"/>
      <c r="W4" s="14"/>
      <c r="X4" s="14"/>
      <c r="Y4" s="14"/>
      <c r="Z4" s="14"/>
      <c r="AA4" s="16">
        <f t="shared" si="5"/>
        <v>8</v>
      </c>
      <c r="AB4" s="17">
        <f t="shared" si="0"/>
        <v>856.6073760449012</v>
      </c>
      <c r="AC4" s="17">
        <f t="shared" si="6"/>
        <v>56.03796100280631</v>
      </c>
      <c r="AD4" s="17">
        <f t="shared" si="7"/>
        <v>107.07592200561263</v>
      </c>
      <c r="AE4" s="17">
        <f t="shared" si="8"/>
        <v>-376.607376044901</v>
      </c>
      <c r="AF4" s="17">
        <f t="shared" si="9"/>
        <v>8</v>
      </c>
      <c r="AG4" s="17">
        <f t="shared" si="10"/>
        <v>-100000</v>
      </c>
      <c r="AH4" s="34">
        <f t="shared" si="1"/>
        <v>60</v>
      </c>
      <c r="AI4" s="17">
        <f t="shared" si="2"/>
        <v>51.188765527462344</v>
      </c>
      <c r="AJ4" s="34">
        <f t="shared" si="3"/>
        <v>60</v>
      </c>
      <c r="AK4" s="18">
        <f t="shared" si="4"/>
        <v>60</v>
      </c>
      <c r="AL4" s="14"/>
      <c r="AM4" s="14"/>
      <c r="AN4" s="14"/>
      <c r="AO4" s="12"/>
      <c r="AP4" s="14"/>
      <c r="AQ4" s="14"/>
      <c r="AR4" s="14"/>
      <c r="AS4" s="14"/>
    </row>
    <row r="5" spans="1:45" s="2" customFormat="1" ht="13.5" customHeight="1">
      <c r="A5" s="74" t="s">
        <v>42</v>
      </c>
      <c r="B5" s="74"/>
      <c r="C5" s="10">
        <v>60</v>
      </c>
      <c r="D5" s="12"/>
      <c r="E5" s="13"/>
      <c r="F5" s="13"/>
      <c r="G5" s="14"/>
      <c r="H5" s="14"/>
      <c r="I5" s="14"/>
      <c r="J5" s="14"/>
      <c r="K5" s="14"/>
      <c r="L5" s="14"/>
      <c r="M5" s="14"/>
      <c r="N5" s="14"/>
      <c r="O5" s="14"/>
      <c r="P5" s="14"/>
      <c r="Q5" s="14"/>
      <c r="R5" s="14"/>
      <c r="S5" s="14"/>
      <c r="T5" s="14"/>
      <c r="U5" s="14"/>
      <c r="V5" s="14"/>
      <c r="W5" s="14"/>
      <c r="X5" s="14"/>
      <c r="Y5" s="14"/>
      <c r="Z5" s="14"/>
      <c r="AA5" s="16">
        <f t="shared" si="5"/>
        <v>12</v>
      </c>
      <c r="AB5" s="17">
        <f t="shared" si="0"/>
        <v>1062.7955589886444</v>
      </c>
      <c r="AC5" s="17">
        <f t="shared" si="6"/>
        <v>48.03314829119353</v>
      </c>
      <c r="AD5" s="17">
        <f t="shared" si="7"/>
        <v>88.56629658238705</v>
      </c>
      <c r="AE5" s="17">
        <f t="shared" si="8"/>
        <v>-342.79555898864464</v>
      </c>
      <c r="AF5" s="17">
        <f t="shared" si="9"/>
        <v>12</v>
      </c>
      <c r="AG5" s="17">
        <f t="shared" si="10"/>
        <v>-100000</v>
      </c>
      <c r="AH5" s="34">
        <f t="shared" si="1"/>
        <v>60</v>
      </c>
      <c r="AI5" s="17">
        <f t="shared" si="2"/>
        <v>51.188765527462344</v>
      </c>
      <c r="AJ5" s="34">
        <f t="shared" si="3"/>
        <v>60</v>
      </c>
      <c r="AK5" s="18">
        <f t="shared" si="4"/>
        <v>60</v>
      </c>
      <c r="AL5" s="14"/>
      <c r="AM5" s="14"/>
      <c r="AN5" s="14"/>
      <c r="AO5" s="12"/>
      <c r="AP5" s="14"/>
      <c r="AQ5" s="14"/>
      <c r="AR5" s="14"/>
      <c r="AS5" s="14"/>
    </row>
    <row r="6" spans="1:45" s="2" customFormat="1" ht="13.5" customHeight="1">
      <c r="A6" s="83" t="s">
        <v>24</v>
      </c>
      <c r="B6" s="83"/>
      <c r="C6" s="56">
        <v>4</v>
      </c>
      <c r="D6" s="21"/>
      <c r="E6" s="13"/>
      <c r="F6" s="13"/>
      <c r="G6" s="14"/>
      <c r="H6" s="14"/>
      <c r="I6" s="14"/>
      <c r="J6" s="14"/>
      <c r="K6" s="14"/>
      <c r="L6" s="14"/>
      <c r="M6" s="14"/>
      <c r="N6" s="14"/>
      <c r="O6" s="14"/>
      <c r="P6" s="14"/>
      <c r="Q6" s="14"/>
      <c r="R6" s="14"/>
      <c r="S6" s="14"/>
      <c r="T6" s="14"/>
      <c r="U6" s="14"/>
      <c r="V6" s="14"/>
      <c r="W6" s="14"/>
      <c r="X6" s="14"/>
      <c r="Y6" s="14"/>
      <c r="Z6" s="14"/>
      <c r="AA6" s="16">
        <f t="shared" si="5"/>
        <v>16</v>
      </c>
      <c r="AB6" s="17">
        <f t="shared" si="0"/>
        <v>1245.902921333221</v>
      </c>
      <c r="AC6" s="17">
        <f t="shared" si="6"/>
        <v>43.934466291663156</v>
      </c>
      <c r="AD6" s="17">
        <f t="shared" si="7"/>
        <v>77.86893258332631</v>
      </c>
      <c r="AE6" s="17">
        <f t="shared" si="8"/>
        <v>-285.902921333221</v>
      </c>
      <c r="AF6" s="17">
        <f t="shared" si="9"/>
        <v>16</v>
      </c>
      <c r="AG6" s="17">
        <f t="shared" si="10"/>
        <v>-100000</v>
      </c>
      <c r="AH6" s="34">
        <f t="shared" si="1"/>
        <v>60</v>
      </c>
      <c r="AI6" s="17">
        <f t="shared" si="2"/>
        <v>51.188765527462344</v>
      </c>
      <c r="AJ6" s="34">
        <f t="shared" si="3"/>
        <v>60</v>
      </c>
      <c r="AK6" s="18">
        <f t="shared" si="4"/>
        <v>60</v>
      </c>
      <c r="AL6" s="12"/>
      <c r="AM6" s="12"/>
      <c r="AN6" s="12"/>
      <c r="AO6" s="12"/>
      <c r="AP6" s="14"/>
      <c r="AQ6" s="14"/>
      <c r="AR6" s="14"/>
      <c r="AS6" s="14"/>
    </row>
    <row r="7" spans="1:45" s="2" customFormat="1" ht="13.5" customHeight="1">
      <c r="A7" s="13"/>
      <c r="B7" s="13"/>
      <c r="C7" s="13"/>
      <c r="D7" s="21"/>
      <c r="E7" s="13"/>
      <c r="F7" s="13"/>
      <c r="G7" s="14"/>
      <c r="H7" s="14"/>
      <c r="I7" s="14"/>
      <c r="J7" s="14"/>
      <c r="K7" s="14"/>
      <c r="L7" s="14"/>
      <c r="M7" s="14"/>
      <c r="N7" s="14"/>
      <c r="O7" s="14"/>
      <c r="P7" s="14"/>
      <c r="Q7" s="14"/>
      <c r="R7" s="14"/>
      <c r="S7" s="14"/>
      <c r="T7" s="14"/>
      <c r="U7" s="14"/>
      <c r="V7" s="14"/>
      <c r="W7" s="14"/>
      <c r="X7" s="14"/>
      <c r="Y7" s="14"/>
      <c r="Z7" s="14"/>
      <c r="AA7" s="16">
        <f t="shared" si="5"/>
        <v>20</v>
      </c>
      <c r="AB7" s="17">
        <f t="shared" si="0"/>
        <v>1416.6666666666665</v>
      </c>
      <c r="AC7" s="17">
        <f t="shared" si="6"/>
        <v>41.666666666666664</v>
      </c>
      <c r="AD7" s="17">
        <f t="shared" si="7"/>
        <v>70.83333333333333</v>
      </c>
      <c r="AE7" s="17">
        <f t="shared" si="8"/>
        <v>-216.66666666666657</v>
      </c>
      <c r="AF7" s="17">
        <f t="shared" si="9"/>
        <v>20</v>
      </c>
      <c r="AG7" s="17">
        <f t="shared" si="10"/>
        <v>-100000</v>
      </c>
      <c r="AH7" s="34">
        <f t="shared" si="1"/>
        <v>60</v>
      </c>
      <c r="AI7" s="17">
        <f t="shared" si="2"/>
        <v>51.188765527462344</v>
      </c>
      <c r="AJ7" s="34">
        <f t="shared" si="3"/>
        <v>60</v>
      </c>
      <c r="AK7" s="18">
        <f t="shared" si="4"/>
        <v>60</v>
      </c>
      <c r="AL7" s="12"/>
      <c r="AM7" s="12"/>
      <c r="AN7" s="12"/>
      <c r="AO7" s="12"/>
      <c r="AP7" s="14"/>
      <c r="AQ7" s="14"/>
      <c r="AR7" s="14"/>
      <c r="AS7" s="14"/>
    </row>
    <row r="8" spans="1:45" s="2" customFormat="1" ht="13.5" customHeight="1">
      <c r="A8" s="13"/>
      <c r="B8" s="13"/>
      <c r="C8" s="13"/>
      <c r="D8" s="21"/>
      <c r="E8" s="13"/>
      <c r="F8" s="13"/>
      <c r="G8" s="14"/>
      <c r="H8" s="14"/>
      <c r="I8" s="14"/>
      <c r="J8" s="14"/>
      <c r="K8" s="14"/>
      <c r="L8" s="14"/>
      <c r="M8" s="14"/>
      <c r="N8" s="14"/>
      <c r="O8" s="14"/>
      <c r="P8" s="14"/>
      <c r="Q8" s="14"/>
      <c r="R8" s="14"/>
      <c r="S8" s="14"/>
      <c r="T8" s="14"/>
      <c r="U8" s="14"/>
      <c r="V8" s="14"/>
      <c r="W8" s="14"/>
      <c r="X8" s="14"/>
      <c r="Y8" s="14"/>
      <c r="Z8" s="14"/>
      <c r="AA8" s="16">
        <f t="shared" si="5"/>
        <v>24</v>
      </c>
      <c r="AB8" s="17">
        <f t="shared" si="0"/>
        <v>1580.5934866804428</v>
      </c>
      <c r="AC8" s="17">
        <f t="shared" si="6"/>
        <v>40.42903097250923</v>
      </c>
      <c r="AD8" s="17">
        <f t="shared" si="7"/>
        <v>65.85806194501846</v>
      </c>
      <c r="AE8" s="17">
        <f t="shared" si="8"/>
        <v>-140.5934866804431</v>
      </c>
      <c r="AF8" s="17">
        <f t="shared" si="9"/>
        <v>24</v>
      </c>
      <c r="AG8" s="17">
        <f t="shared" si="10"/>
        <v>-100000</v>
      </c>
      <c r="AH8" s="34">
        <f t="shared" si="1"/>
        <v>60</v>
      </c>
      <c r="AI8" s="17">
        <f t="shared" si="2"/>
        <v>51.188765527462344</v>
      </c>
      <c r="AJ8" s="34">
        <f t="shared" si="3"/>
        <v>60</v>
      </c>
      <c r="AK8" s="18">
        <f t="shared" si="4"/>
        <v>60</v>
      </c>
      <c r="AL8" s="15" t="s">
        <v>5</v>
      </c>
      <c r="AM8" s="12"/>
      <c r="AN8" s="12"/>
      <c r="AO8" s="12"/>
      <c r="AP8" s="14"/>
      <c r="AQ8" s="14"/>
      <c r="AR8" s="14"/>
      <c r="AS8" s="14"/>
    </row>
    <row r="9" spans="1:45" s="2" customFormat="1" ht="13.5" customHeight="1">
      <c r="A9" s="13"/>
      <c r="B9" s="13"/>
      <c r="C9" s="13"/>
      <c r="D9" s="13"/>
      <c r="E9" s="13"/>
      <c r="F9" s="13"/>
      <c r="G9" s="14"/>
      <c r="H9" s="14"/>
      <c r="I9" s="14"/>
      <c r="J9" s="14"/>
      <c r="K9" s="14"/>
      <c r="L9" s="14"/>
      <c r="M9" s="14"/>
      <c r="N9" s="14"/>
      <c r="O9" s="14"/>
      <c r="P9" s="14"/>
      <c r="Q9" s="14"/>
      <c r="R9" s="14"/>
      <c r="S9" s="14"/>
      <c r="T9" s="14"/>
      <c r="U9" s="14"/>
      <c r="V9" s="14"/>
      <c r="W9" s="14"/>
      <c r="X9" s="14"/>
      <c r="Y9" s="14"/>
      <c r="Z9" s="14"/>
      <c r="AA9" s="16">
        <f t="shared" si="5"/>
        <v>28</v>
      </c>
      <c r="AB9" s="17">
        <f t="shared" si="0"/>
        <v>1740.9546088265643</v>
      </c>
      <c r="AC9" s="17">
        <f t="shared" si="6"/>
        <v>39.83847515761721</v>
      </c>
      <c r="AD9" s="17">
        <f t="shared" si="7"/>
        <v>62.17695031523443</v>
      </c>
      <c r="AE9" s="17">
        <f t="shared" si="8"/>
        <v>-60.954608826564</v>
      </c>
      <c r="AF9" s="17">
        <f t="shared" si="9"/>
        <v>28</v>
      </c>
      <c r="AG9" s="17">
        <f t="shared" si="10"/>
        <v>-100000</v>
      </c>
      <c r="AH9" s="34">
        <f t="shared" si="1"/>
        <v>60</v>
      </c>
      <c r="AI9" s="17">
        <f t="shared" si="2"/>
        <v>51.188765527462344</v>
      </c>
      <c r="AJ9" s="34">
        <f t="shared" si="3"/>
        <v>60</v>
      </c>
      <c r="AK9" s="18">
        <f t="shared" si="4"/>
        <v>60</v>
      </c>
      <c r="AL9" s="18">
        <f>AN$1*A84^2+AN$2*A84^0.5</f>
        <v>0</v>
      </c>
      <c r="AM9" s="12"/>
      <c r="AN9" s="12"/>
      <c r="AO9" s="12"/>
      <c r="AP9" s="14"/>
      <c r="AQ9" s="14"/>
      <c r="AR9" s="14"/>
      <c r="AS9" s="14"/>
    </row>
    <row r="10" spans="1:45" s="2" customFormat="1" ht="13.5" customHeight="1">
      <c r="A10" s="73" t="s">
        <v>73</v>
      </c>
      <c r="B10" s="73"/>
      <c r="C10" s="46">
        <f>MAX(AG2:AG55)</f>
        <v>108</v>
      </c>
      <c r="D10" s="12"/>
      <c r="E10" s="13"/>
      <c r="F10" s="13"/>
      <c r="G10" s="14"/>
      <c r="H10" s="14"/>
      <c r="I10" s="14"/>
      <c r="J10" s="14"/>
      <c r="K10" s="14"/>
      <c r="L10" s="14"/>
      <c r="M10" s="14"/>
      <c r="N10" s="14"/>
      <c r="O10" s="14"/>
      <c r="P10" s="14"/>
      <c r="Q10" s="14"/>
      <c r="R10" s="14"/>
      <c r="S10" s="14"/>
      <c r="T10" s="14"/>
      <c r="U10" s="14"/>
      <c r="V10" s="14"/>
      <c r="W10" s="14"/>
      <c r="X10" s="14"/>
      <c r="Y10" s="14"/>
      <c r="Z10" s="14"/>
      <c r="AA10" s="16">
        <f t="shared" si="5"/>
        <v>32</v>
      </c>
      <c r="AB10" s="17">
        <f t="shared" si="0"/>
        <v>1899.881418756469</v>
      </c>
      <c r="AC10" s="17">
        <f t="shared" si="6"/>
        <v>39.68564716806982</v>
      </c>
      <c r="AD10" s="17">
        <f t="shared" si="7"/>
        <v>59.37129433613964</v>
      </c>
      <c r="AE10" s="17">
        <f t="shared" si="8"/>
        <v>20.11858124353148</v>
      </c>
      <c r="AF10" s="17">
        <f t="shared" si="9"/>
        <v>32</v>
      </c>
      <c r="AG10" s="17">
        <f t="shared" si="10"/>
        <v>-100000</v>
      </c>
      <c r="AH10" s="34">
        <f t="shared" si="1"/>
        <v>60</v>
      </c>
      <c r="AI10" s="17">
        <f t="shared" si="2"/>
        <v>51.188765527462344</v>
      </c>
      <c r="AJ10" s="34">
        <f t="shared" si="3"/>
        <v>60</v>
      </c>
      <c r="AK10" s="18">
        <f t="shared" si="4"/>
        <v>60</v>
      </c>
      <c r="AL10" s="18"/>
      <c r="AM10" s="12"/>
      <c r="AN10" s="12"/>
      <c r="AO10" s="12"/>
      <c r="AP10" s="14"/>
      <c r="AQ10" s="14"/>
      <c r="AR10" s="14"/>
      <c r="AS10" s="14"/>
    </row>
    <row r="11" spans="1:45" s="2" customFormat="1" ht="13.5" customHeight="1">
      <c r="A11" s="73" t="s">
        <v>44</v>
      </c>
      <c r="B11" s="73"/>
      <c r="C11" s="47">
        <f>AN1*C10+AN2/C10^0.5</f>
        <v>51.188765527462344</v>
      </c>
      <c r="D11" s="12"/>
      <c r="E11" s="13"/>
      <c r="F11" s="13"/>
      <c r="G11" s="14"/>
      <c r="H11" s="14"/>
      <c r="I11" s="14"/>
      <c r="J11" s="14"/>
      <c r="K11" s="14"/>
      <c r="L11" s="14"/>
      <c r="M11" s="14"/>
      <c r="N11" s="14"/>
      <c r="O11" s="14"/>
      <c r="P11" s="14"/>
      <c r="Q11" s="14"/>
      <c r="R11" s="14"/>
      <c r="S11" s="14"/>
      <c r="T11" s="14"/>
      <c r="U11" s="14"/>
      <c r="V11" s="14"/>
      <c r="W11" s="14"/>
      <c r="X11" s="14"/>
      <c r="Y11" s="14"/>
      <c r="Z11" s="14"/>
      <c r="AA11" s="16">
        <f t="shared" si="5"/>
        <v>36</v>
      </c>
      <c r="AB11" s="17">
        <f t="shared" si="0"/>
        <v>2058.8543819998317</v>
      </c>
      <c r="AC11" s="17">
        <f t="shared" si="6"/>
        <v>39.84519974999766</v>
      </c>
      <c r="AD11" s="17">
        <f t="shared" si="7"/>
        <v>57.19039949999532</v>
      </c>
      <c r="AE11" s="17">
        <f t="shared" si="8"/>
        <v>101.14561800016838</v>
      </c>
      <c r="AF11" s="17">
        <f t="shared" si="9"/>
        <v>36</v>
      </c>
      <c r="AG11" s="17">
        <f t="shared" si="10"/>
        <v>-100000</v>
      </c>
      <c r="AH11" s="34">
        <f t="shared" si="1"/>
        <v>60</v>
      </c>
      <c r="AI11" s="17">
        <f t="shared" si="2"/>
        <v>51.188765527462344</v>
      </c>
      <c r="AJ11" s="34">
        <f t="shared" si="3"/>
        <v>60</v>
      </c>
      <c r="AK11" s="18">
        <f t="shared" si="4"/>
        <v>60</v>
      </c>
      <c r="AL11" s="18">
        <f>AN$1*A86^2+AN$2*A86^0.5</f>
        <v>1580.5934866804428</v>
      </c>
      <c r="AM11" s="12"/>
      <c r="AN11" s="12"/>
      <c r="AO11" s="12"/>
      <c r="AP11" s="14"/>
      <c r="AQ11" s="14"/>
      <c r="AR11" s="14"/>
      <c r="AS11" s="14"/>
    </row>
    <row r="12" spans="1:45" s="2" customFormat="1" ht="13.5" customHeight="1">
      <c r="A12" s="73" t="s">
        <v>45</v>
      </c>
      <c r="B12" s="73"/>
      <c r="C12" s="47">
        <f>C10*(C5-C11)</f>
        <v>951.6133230340669</v>
      </c>
      <c r="D12" s="12"/>
      <c r="E12" s="13"/>
      <c r="F12" s="13"/>
      <c r="G12" s="14"/>
      <c r="H12" s="14"/>
      <c r="I12" s="14"/>
      <c r="J12" s="14"/>
      <c r="K12" s="14"/>
      <c r="L12" s="14"/>
      <c r="M12" s="14"/>
      <c r="N12" s="14"/>
      <c r="O12" s="14"/>
      <c r="P12" s="14"/>
      <c r="Q12" s="14"/>
      <c r="R12" s="14"/>
      <c r="S12" s="14"/>
      <c r="T12" s="14"/>
      <c r="U12" s="14"/>
      <c r="V12" s="14"/>
      <c r="W12" s="14"/>
      <c r="X12" s="14"/>
      <c r="Y12" s="14"/>
      <c r="Z12" s="14"/>
      <c r="AA12" s="16">
        <f t="shared" si="5"/>
        <v>40</v>
      </c>
      <c r="AB12" s="17">
        <f t="shared" si="0"/>
        <v>2218.9514164974603</v>
      </c>
      <c r="AC12" s="17">
        <f t="shared" si="6"/>
        <v>40.23689270621825</v>
      </c>
      <c r="AD12" s="17">
        <f t="shared" si="7"/>
        <v>55.4737854124365</v>
      </c>
      <c r="AE12" s="17">
        <f t="shared" si="8"/>
        <v>181.04858350254005</v>
      </c>
      <c r="AF12" s="17">
        <f t="shared" si="9"/>
        <v>40</v>
      </c>
      <c r="AG12" s="17">
        <f t="shared" si="10"/>
        <v>-100000</v>
      </c>
      <c r="AH12" s="34">
        <f t="shared" si="1"/>
        <v>60</v>
      </c>
      <c r="AI12" s="17">
        <f t="shared" si="2"/>
        <v>51.188765527462344</v>
      </c>
      <c r="AJ12" s="34">
        <f t="shared" si="3"/>
        <v>60</v>
      </c>
      <c r="AK12" s="18">
        <f t="shared" si="4"/>
        <v>60</v>
      </c>
      <c r="AL12" s="18"/>
      <c r="AM12" s="12"/>
      <c r="AN12" s="12"/>
      <c r="AO12" s="12"/>
      <c r="AP12" s="14"/>
      <c r="AQ12" s="14"/>
      <c r="AR12" s="14"/>
      <c r="AS12" s="14"/>
    </row>
    <row r="13" spans="1:45" s="2" customFormat="1" ht="13.5" customHeight="1">
      <c r="A13" s="13" t="s">
        <v>75</v>
      </c>
      <c r="B13" s="13"/>
      <c r="C13" s="13"/>
      <c r="D13" s="12"/>
      <c r="E13" s="13"/>
      <c r="F13" s="13"/>
      <c r="G13" s="14"/>
      <c r="H13" s="14"/>
      <c r="I13" s="14"/>
      <c r="J13" s="14"/>
      <c r="K13" s="14"/>
      <c r="L13" s="14"/>
      <c r="M13" s="14"/>
      <c r="N13" s="14"/>
      <c r="O13" s="14"/>
      <c r="P13" s="14"/>
      <c r="Q13" s="14"/>
      <c r="R13" s="14"/>
      <c r="S13" s="14"/>
      <c r="T13" s="14"/>
      <c r="U13" s="14"/>
      <c r="V13" s="14"/>
      <c r="W13" s="14"/>
      <c r="X13" s="14"/>
      <c r="Y13" s="14"/>
      <c r="Z13" s="14"/>
      <c r="AA13" s="16">
        <f t="shared" si="5"/>
        <v>44</v>
      </c>
      <c r="AB13" s="17">
        <f t="shared" si="0"/>
        <v>2380.98626322551</v>
      </c>
      <c r="AC13" s="17">
        <f t="shared" si="6"/>
        <v>40.80666208210807</v>
      </c>
      <c r="AD13" s="17">
        <f t="shared" si="7"/>
        <v>54.11332416421614</v>
      </c>
      <c r="AE13" s="17">
        <f t="shared" si="8"/>
        <v>259.0137367744899</v>
      </c>
      <c r="AF13" s="17">
        <f t="shared" si="9"/>
        <v>44</v>
      </c>
      <c r="AG13" s="17">
        <f t="shared" si="10"/>
        <v>-100000</v>
      </c>
      <c r="AH13" s="34">
        <f t="shared" si="1"/>
        <v>60</v>
      </c>
      <c r="AI13" s="17">
        <f t="shared" si="2"/>
        <v>51.188765527462344</v>
      </c>
      <c r="AJ13" s="34">
        <f t="shared" si="3"/>
        <v>60</v>
      </c>
      <c r="AK13" s="18">
        <f t="shared" si="4"/>
        <v>60</v>
      </c>
      <c r="AL13" s="18">
        <f>AN$1*A88^2+AN$2*A88^0.5</f>
        <v>2545.591117977289</v>
      </c>
      <c r="AM13" s="12"/>
      <c r="AN13" s="12"/>
      <c r="AO13" s="12"/>
      <c r="AP13" s="14"/>
      <c r="AQ13" s="14"/>
      <c r="AR13" s="14"/>
      <c r="AS13" s="14"/>
    </row>
    <row r="14" spans="1:45" s="2" customFormat="1" ht="13.5" customHeight="1">
      <c r="A14" s="13"/>
      <c r="B14" s="13"/>
      <c r="C14" s="13"/>
      <c r="D14" s="13"/>
      <c r="E14" s="13"/>
      <c r="F14" s="13"/>
      <c r="G14" s="14"/>
      <c r="H14" s="14"/>
      <c r="I14" s="14"/>
      <c r="J14" s="14"/>
      <c r="K14" s="14"/>
      <c r="L14" s="14"/>
      <c r="M14" s="14"/>
      <c r="N14" s="14"/>
      <c r="O14" s="14"/>
      <c r="P14" s="14"/>
      <c r="Q14" s="14"/>
      <c r="R14" s="14"/>
      <c r="S14" s="14"/>
      <c r="T14" s="14"/>
      <c r="U14" s="14"/>
      <c r="V14" s="14"/>
      <c r="W14" s="14"/>
      <c r="X14" s="14"/>
      <c r="Y14" s="14"/>
      <c r="Z14" s="14"/>
      <c r="AA14" s="16">
        <f t="shared" si="5"/>
        <v>48</v>
      </c>
      <c r="AB14" s="17">
        <f t="shared" si="0"/>
        <v>2545.591117977289</v>
      </c>
      <c r="AC14" s="17">
        <f t="shared" si="6"/>
        <v>41.51657414559676</v>
      </c>
      <c r="AD14" s="17">
        <f t="shared" si="7"/>
        <v>53.03314829119353</v>
      </c>
      <c r="AE14" s="17">
        <f t="shared" si="8"/>
        <v>334.4088820227107</v>
      </c>
      <c r="AF14" s="17">
        <f t="shared" si="9"/>
        <v>48</v>
      </c>
      <c r="AG14" s="17">
        <f t="shared" si="10"/>
        <v>-100000</v>
      </c>
      <c r="AH14" s="34">
        <f t="shared" si="1"/>
        <v>60</v>
      </c>
      <c r="AI14" s="17">
        <f t="shared" si="2"/>
        <v>51.188765527462344</v>
      </c>
      <c r="AJ14" s="34">
        <f t="shared" si="3"/>
        <v>60</v>
      </c>
      <c r="AK14" s="18">
        <f t="shared" si="4"/>
        <v>60</v>
      </c>
      <c r="AL14" s="18"/>
      <c r="AM14" s="12"/>
      <c r="AN14" s="12"/>
      <c r="AO14" s="12"/>
      <c r="AP14" s="14"/>
      <c r="AQ14" s="14"/>
      <c r="AR14" s="14"/>
      <c r="AS14" s="14"/>
    </row>
    <row r="15" spans="1:45" s="2" customFormat="1" ht="13.5" customHeight="1">
      <c r="A15" s="13"/>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6">
        <f t="shared" si="5"/>
        <v>52</v>
      </c>
      <c r="AB15" s="17">
        <f t="shared" si="0"/>
        <v>2713.2687328796133</v>
      </c>
      <c r="AC15" s="17">
        <f t="shared" si="6"/>
        <v>42.33912243153475</v>
      </c>
      <c r="AD15" s="17">
        <f t="shared" si="7"/>
        <v>52.17824486306949</v>
      </c>
      <c r="AE15" s="17">
        <f t="shared" si="8"/>
        <v>406.73126712038663</v>
      </c>
      <c r="AF15" s="17">
        <f t="shared" si="9"/>
        <v>52</v>
      </c>
      <c r="AG15" s="17">
        <f t="shared" si="10"/>
        <v>-100000</v>
      </c>
      <c r="AH15" s="34">
        <f t="shared" si="1"/>
        <v>60</v>
      </c>
      <c r="AI15" s="17">
        <f t="shared" si="2"/>
        <v>51.188765527462344</v>
      </c>
      <c r="AJ15" s="34">
        <f t="shared" si="3"/>
        <v>60</v>
      </c>
      <c r="AK15" s="18">
        <f t="shared" si="4"/>
        <v>60</v>
      </c>
      <c r="AL15" s="18">
        <f>AN$1*A90^2+AN$2*A90^0.5</f>
        <v>3609.8221281347032</v>
      </c>
      <c r="AM15" s="12"/>
      <c r="AN15" s="12"/>
      <c r="AO15" s="12"/>
      <c r="AP15" s="14"/>
      <c r="AQ15" s="14"/>
      <c r="AR15" s="14"/>
      <c r="AS15" s="14"/>
    </row>
    <row r="16" spans="1:45" s="2" customFormat="1" ht="13.5" customHeight="1">
      <c r="A16" s="14"/>
      <c r="B16" s="14"/>
      <c r="C16" s="14"/>
      <c r="D16" s="13"/>
      <c r="E16" s="13"/>
      <c r="F16" s="13"/>
      <c r="G16" s="14"/>
      <c r="H16" s="14"/>
      <c r="I16" s="14"/>
      <c r="J16" s="14"/>
      <c r="K16" s="14"/>
      <c r="L16" s="14"/>
      <c r="M16" s="14"/>
      <c r="N16" s="14"/>
      <c r="O16" s="14"/>
      <c r="P16" s="14"/>
      <c r="Q16" s="14"/>
      <c r="R16" s="14"/>
      <c r="S16" s="14"/>
      <c r="T16" s="14"/>
      <c r="U16" s="14"/>
      <c r="V16" s="14"/>
      <c r="W16" s="14"/>
      <c r="X16" s="14"/>
      <c r="Y16" s="14"/>
      <c r="Z16" s="14"/>
      <c r="AA16" s="16">
        <f t="shared" si="5"/>
        <v>56</v>
      </c>
      <c r="AB16" s="17">
        <f t="shared" si="0"/>
        <v>2884.4267374242013</v>
      </c>
      <c r="AC16" s="17">
        <f t="shared" si="6"/>
        <v>43.253810155573234</v>
      </c>
      <c r="AD16" s="17">
        <f t="shared" si="7"/>
        <v>51.507620311146454</v>
      </c>
      <c r="AE16" s="17">
        <f t="shared" si="8"/>
        <v>475.5732625757986</v>
      </c>
      <c r="AF16" s="17">
        <f t="shared" si="9"/>
        <v>56</v>
      </c>
      <c r="AG16" s="17">
        <f t="shared" si="10"/>
        <v>-100000</v>
      </c>
      <c r="AH16" s="34">
        <f t="shared" si="1"/>
        <v>60</v>
      </c>
      <c r="AI16" s="17">
        <f t="shared" si="2"/>
        <v>51.188765527462344</v>
      </c>
      <c r="AJ16" s="34">
        <f t="shared" si="3"/>
        <v>60</v>
      </c>
      <c r="AK16" s="18">
        <f t="shared" si="4"/>
        <v>60</v>
      </c>
      <c r="AL16" s="18"/>
      <c r="AM16" s="12"/>
      <c r="AN16" s="12"/>
      <c r="AO16" s="12"/>
      <c r="AP16" s="14"/>
      <c r="AQ16" s="14"/>
      <c r="AR16" s="14"/>
      <c r="AS16" s="14"/>
    </row>
    <row r="17" spans="1:45" s="2" customFormat="1" ht="13.5" customHeight="1">
      <c r="A17" s="14"/>
      <c r="B17" s="14"/>
      <c r="C17" s="14"/>
      <c r="D17" s="13"/>
      <c r="E17" s="13"/>
      <c r="F17" s="13"/>
      <c r="G17" s="14"/>
      <c r="H17" s="14"/>
      <c r="I17" s="14"/>
      <c r="J17" s="14"/>
      <c r="K17" s="14"/>
      <c r="L17" s="14"/>
      <c r="M17" s="14"/>
      <c r="N17" s="14"/>
      <c r="O17" s="14"/>
      <c r="P17" s="14"/>
      <c r="Q17" s="14"/>
      <c r="R17" s="14"/>
      <c r="S17" s="14"/>
      <c r="T17" s="14"/>
      <c r="U17" s="14"/>
      <c r="V17" s="14"/>
      <c r="W17" s="14"/>
      <c r="X17" s="14"/>
      <c r="Y17" s="14"/>
      <c r="Z17" s="14"/>
      <c r="AA17" s="16">
        <f t="shared" si="5"/>
        <v>60</v>
      </c>
      <c r="AB17" s="17">
        <f t="shared" si="0"/>
        <v>3059.4010767585028</v>
      </c>
      <c r="AC17" s="17">
        <f t="shared" si="6"/>
        <v>44.24500897298752</v>
      </c>
      <c r="AD17" s="17">
        <f t="shared" si="7"/>
        <v>50.99001794597504</v>
      </c>
      <c r="AE17" s="17">
        <f t="shared" si="8"/>
        <v>540.5989232414976</v>
      </c>
      <c r="AF17" s="17">
        <f t="shared" si="9"/>
        <v>60</v>
      </c>
      <c r="AG17" s="17">
        <f t="shared" si="10"/>
        <v>-100000</v>
      </c>
      <c r="AH17" s="34">
        <f t="shared" si="1"/>
        <v>60</v>
      </c>
      <c r="AI17" s="17">
        <f t="shared" si="2"/>
        <v>51.188765527462344</v>
      </c>
      <c r="AJ17" s="34">
        <f t="shared" si="3"/>
        <v>60</v>
      </c>
      <c r="AK17" s="18">
        <f t="shared" si="4"/>
        <v>60</v>
      </c>
      <c r="AL17" s="18">
        <f>AN$1*A92^2+AN$2*A92^0.5</f>
        <v>4841.1869733608855</v>
      </c>
      <c r="AM17" s="12"/>
      <c r="AN17" s="12"/>
      <c r="AO17" s="14"/>
      <c r="AP17" s="14"/>
      <c r="AQ17" s="14"/>
      <c r="AR17" s="14"/>
      <c r="AS17" s="14"/>
    </row>
    <row r="18" spans="1:45" s="2" customFormat="1" ht="13.5" customHeight="1">
      <c r="A18" s="14"/>
      <c r="B18" s="14"/>
      <c r="C18" s="14"/>
      <c r="D18" s="14"/>
      <c r="E18" s="13"/>
      <c r="F18" s="13"/>
      <c r="G18" s="14"/>
      <c r="H18" s="14"/>
      <c r="I18" s="14"/>
      <c r="J18" s="14"/>
      <c r="K18" s="14"/>
      <c r="L18" s="14"/>
      <c r="M18" s="14"/>
      <c r="N18" s="14"/>
      <c r="O18" s="14"/>
      <c r="P18" s="14"/>
      <c r="Q18" s="14"/>
      <c r="R18" s="14"/>
      <c r="S18" s="14"/>
      <c r="T18" s="14"/>
      <c r="U18" s="14"/>
      <c r="V18" s="14"/>
      <c r="W18" s="14"/>
      <c r="X18" s="14"/>
      <c r="Y18" s="14"/>
      <c r="Z18" s="14"/>
      <c r="AA18" s="16">
        <f t="shared" si="5"/>
        <v>64</v>
      </c>
      <c r="AB18" s="17">
        <f t="shared" si="0"/>
        <v>3238.472509333109</v>
      </c>
      <c r="AC18" s="17">
        <f t="shared" si="6"/>
        <v>45.300566479164914</v>
      </c>
      <c r="AD18" s="17">
        <f t="shared" si="7"/>
        <v>50.60113295832983</v>
      </c>
      <c r="AE18" s="17">
        <f t="shared" si="8"/>
        <v>601.527490666891</v>
      </c>
      <c r="AF18" s="17">
        <f t="shared" si="9"/>
        <v>64</v>
      </c>
      <c r="AG18" s="17">
        <f t="shared" si="10"/>
        <v>-100000</v>
      </c>
      <c r="AH18" s="34">
        <f t="shared" si="1"/>
        <v>60</v>
      </c>
      <c r="AI18" s="17">
        <f t="shared" si="2"/>
        <v>51.188765527462344</v>
      </c>
      <c r="AJ18" s="34">
        <f t="shared" si="3"/>
        <v>60</v>
      </c>
      <c r="AK18" s="18">
        <f t="shared" si="4"/>
        <v>60</v>
      </c>
      <c r="AL18" s="18"/>
      <c r="AM18" s="12"/>
      <c r="AN18" s="12"/>
      <c r="AO18" s="12"/>
      <c r="AP18" s="14"/>
      <c r="AQ18" s="14"/>
      <c r="AR18" s="14"/>
      <c r="AS18" s="14"/>
    </row>
    <row r="19" spans="1:45" s="2" customFormat="1" ht="13.5" customHeight="1">
      <c r="A19" s="14"/>
      <c r="B19" s="14"/>
      <c r="C19" s="14"/>
      <c r="D19" s="14"/>
      <c r="E19" s="13"/>
      <c r="F19" s="13"/>
      <c r="G19" s="14"/>
      <c r="H19" s="14"/>
      <c r="I19" s="14"/>
      <c r="J19" s="14"/>
      <c r="K19" s="14"/>
      <c r="L19" s="14"/>
      <c r="M19" s="14"/>
      <c r="N19" s="14"/>
      <c r="O19" s="14"/>
      <c r="P19" s="14"/>
      <c r="Q19" s="14"/>
      <c r="R19" s="14"/>
      <c r="S19" s="14"/>
      <c r="T19" s="14"/>
      <c r="U19" s="14"/>
      <c r="V19" s="14"/>
      <c r="W19" s="14"/>
      <c r="X19" s="14"/>
      <c r="Y19" s="14"/>
      <c r="Z19" s="14"/>
      <c r="AA19" s="16">
        <f t="shared" si="5"/>
        <v>68</v>
      </c>
      <c r="AB19" s="17">
        <f t="shared" si="0"/>
        <v>3421.87852194477</v>
      </c>
      <c r="AC19" s="17">
        <f t="shared" si="6"/>
        <v>46.41087148488802</v>
      </c>
      <c r="AD19" s="17">
        <f t="shared" si="7"/>
        <v>50.321742969776025</v>
      </c>
      <c r="AE19" s="17">
        <f t="shared" si="8"/>
        <v>658.1214780552302</v>
      </c>
      <c r="AF19" s="17">
        <f t="shared" si="9"/>
        <v>68</v>
      </c>
      <c r="AG19" s="17">
        <f t="shared" si="10"/>
        <v>-100000</v>
      </c>
      <c r="AH19" s="34">
        <f t="shared" si="1"/>
        <v>60</v>
      </c>
      <c r="AI19" s="17">
        <f t="shared" si="2"/>
        <v>51.188765527462344</v>
      </c>
      <c r="AJ19" s="34">
        <f t="shared" si="3"/>
        <v>60</v>
      </c>
      <c r="AK19" s="18">
        <f t="shared" si="4"/>
        <v>60</v>
      </c>
      <c r="AL19" s="18">
        <f>AN$1*A94^2+AN$2*A94^0.5</f>
        <v>6265.986323710904</v>
      </c>
      <c r="AM19" s="12"/>
      <c r="AN19" s="12"/>
      <c r="AO19" s="12"/>
      <c r="AP19" s="14"/>
      <c r="AQ19" s="14"/>
      <c r="AR19" s="14"/>
      <c r="AS19" s="14"/>
    </row>
    <row r="20" spans="1:45" s="2" customFormat="1" ht="13.5" customHeight="1">
      <c r="A20" s="14"/>
      <c r="B20" s="14"/>
      <c r="C20" s="14"/>
      <c r="D20" s="14"/>
      <c r="E20" s="13"/>
      <c r="F20" s="13"/>
      <c r="G20" s="14"/>
      <c r="H20" s="14"/>
      <c r="I20" s="14"/>
      <c r="J20" s="14"/>
      <c r="K20" s="14"/>
      <c r="L20" s="14"/>
      <c r="M20" s="14"/>
      <c r="N20" s="14"/>
      <c r="O20" s="14"/>
      <c r="P20" s="14"/>
      <c r="Q20" s="14"/>
      <c r="R20" s="14"/>
      <c r="S20" s="14"/>
      <c r="T20" s="14"/>
      <c r="U20" s="14"/>
      <c r="V20" s="14"/>
      <c r="W20" s="14"/>
      <c r="X20" s="14"/>
      <c r="Y20" s="14"/>
      <c r="Z20" s="14"/>
      <c r="AA20" s="16">
        <f t="shared" si="5"/>
        <v>72</v>
      </c>
      <c r="AB20" s="17">
        <f t="shared" si="0"/>
        <v>3609.8221281347032</v>
      </c>
      <c r="AC20" s="17">
        <f t="shared" si="6"/>
        <v>47.568209223157666</v>
      </c>
      <c r="AD20" s="17">
        <f t="shared" si="7"/>
        <v>50.136418446315325</v>
      </c>
      <c r="AE20" s="17">
        <f t="shared" si="8"/>
        <v>710.1778718652965</v>
      </c>
      <c r="AF20" s="17">
        <f t="shared" si="9"/>
        <v>72</v>
      </c>
      <c r="AG20" s="17">
        <f t="shared" si="10"/>
        <v>-100000</v>
      </c>
      <c r="AH20" s="34">
        <f t="shared" si="1"/>
        <v>60</v>
      </c>
      <c r="AI20" s="17">
        <f t="shared" si="2"/>
        <v>51.188765527462344</v>
      </c>
      <c r="AJ20" s="34">
        <f t="shared" si="3"/>
        <v>60</v>
      </c>
      <c r="AK20" s="18">
        <f t="shared" si="4"/>
        <v>60</v>
      </c>
      <c r="AL20" s="18"/>
      <c r="AM20" s="12"/>
      <c r="AN20" s="12"/>
      <c r="AO20" s="12"/>
      <c r="AP20" s="14"/>
      <c r="AQ20" s="14"/>
      <c r="AR20" s="14"/>
      <c r="AS20" s="14"/>
    </row>
    <row r="21" spans="1:45" s="2" customFormat="1" ht="13.5" customHeight="1">
      <c r="A21" s="14"/>
      <c r="B21" s="14"/>
      <c r="C21" s="14"/>
      <c r="D21" s="14"/>
      <c r="E21" s="13"/>
      <c r="F21" s="13"/>
      <c r="G21" s="14"/>
      <c r="H21" s="14"/>
      <c r="I21" s="14"/>
      <c r="J21" s="14"/>
      <c r="K21" s="14"/>
      <c r="L21" s="14"/>
      <c r="M21" s="14"/>
      <c r="N21" s="14"/>
      <c r="O21" s="14"/>
      <c r="P21" s="14"/>
      <c r="Q21" s="14"/>
      <c r="R21" s="14"/>
      <c r="S21" s="14"/>
      <c r="T21" s="14"/>
      <c r="U21" s="14"/>
      <c r="V21" s="14"/>
      <c r="W21" s="14"/>
      <c r="X21" s="14"/>
      <c r="Y21" s="14"/>
      <c r="Z21" s="14"/>
      <c r="AA21" s="16">
        <f t="shared" si="5"/>
        <v>76</v>
      </c>
      <c r="AB21" s="17">
        <f t="shared" si="0"/>
        <v>3802.478491949057</v>
      </c>
      <c r="AC21" s="17">
        <f t="shared" si="6"/>
        <v>48.7663058680859</v>
      </c>
      <c r="AD21" s="17">
        <f t="shared" si="7"/>
        <v>50.0326117361718</v>
      </c>
      <c r="AE21" s="17">
        <f t="shared" si="8"/>
        <v>757.5215080509431</v>
      </c>
      <c r="AF21" s="17">
        <f t="shared" si="9"/>
        <v>76</v>
      </c>
      <c r="AG21" s="17">
        <f t="shared" si="10"/>
        <v>-100000</v>
      </c>
      <c r="AH21" s="34">
        <f t="shared" si="1"/>
        <v>60</v>
      </c>
      <c r="AI21" s="17">
        <f t="shared" si="2"/>
        <v>51.188765527462344</v>
      </c>
      <c r="AJ21" s="34">
        <f t="shared" si="3"/>
        <v>60</v>
      </c>
      <c r="AK21" s="18">
        <f t="shared" si="4"/>
        <v>60</v>
      </c>
      <c r="AL21" s="18">
        <f>AN$1*A96^2+AN$2*A96^0.5</f>
        <v>7897.7087639996635</v>
      </c>
      <c r="AM21" s="12"/>
      <c r="AN21" s="12"/>
      <c r="AO21" s="12"/>
      <c r="AP21" s="14"/>
      <c r="AQ21" s="14"/>
      <c r="AR21" s="14"/>
      <c r="AS21" s="14"/>
    </row>
    <row r="22" spans="1:45" s="2" customFormat="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6">
        <f t="shared" si="5"/>
        <v>80</v>
      </c>
      <c r="AB22" s="17">
        <f t="shared" si="0"/>
        <v>4000</v>
      </c>
      <c r="AC22" s="17">
        <f t="shared" si="6"/>
        <v>50</v>
      </c>
      <c r="AD22" s="17">
        <f t="shared" si="7"/>
        <v>50</v>
      </c>
      <c r="AE22" s="17">
        <f t="shared" si="8"/>
        <v>800</v>
      </c>
      <c r="AF22" s="17">
        <f t="shared" si="9"/>
        <v>80</v>
      </c>
      <c r="AG22" s="17">
        <f t="shared" si="10"/>
        <v>-100000</v>
      </c>
      <c r="AH22" s="34">
        <f t="shared" si="1"/>
        <v>60</v>
      </c>
      <c r="AI22" s="17">
        <f t="shared" si="2"/>
        <v>51.188765527462344</v>
      </c>
      <c r="AJ22" s="34">
        <f t="shared" si="3"/>
        <v>60</v>
      </c>
      <c r="AK22" s="18">
        <f t="shared" si="4"/>
        <v>60</v>
      </c>
      <c r="AL22" s="18"/>
      <c r="AM22" s="12"/>
      <c r="AN22" s="12"/>
      <c r="AO22" s="12"/>
      <c r="AP22" s="14"/>
      <c r="AQ22" s="14"/>
      <c r="AR22" s="14"/>
      <c r="AS22" s="14"/>
    </row>
    <row r="23" spans="1:45" s="2" customFormat="1" ht="13.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6">
        <f t="shared" si="5"/>
        <v>84</v>
      </c>
      <c r="AB23" s="17">
        <f t="shared" si="0"/>
        <v>4202.520204255892</v>
      </c>
      <c r="AC23" s="17">
        <f t="shared" si="6"/>
        <v>51.26500121580889</v>
      </c>
      <c r="AD23" s="17">
        <f t="shared" si="7"/>
        <v>50.030002431617774</v>
      </c>
      <c r="AE23" s="17">
        <f t="shared" si="8"/>
        <v>837.4797957441069</v>
      </c>
      <c r="AF23" s="17">
        <f t="shared" si="9"/>
        <v>84</v>
      </c>
      <c r="AG23" s="17">
        <f t="shared" si="10"/>
        <v>-100000</v>
      </c>
      <c r="AH23" s="34">
        <f t="shared" si="1"/>
        <v>60</v>
      </c>
      <c r="AI23" s="17">
        <f t="shared" si="2"/>
        <v>51.188765527462344</v>
      </c>
      <c r="AJ23" s="34">
        <f t="shared" si="3"/>
        <v>60</v>
      </c>
      <c r="AK23" s="18">
        <f t="shared" si="4"/>
        <v>60</v>
      </c>
      <c r="AL23" s="18">
        <f>AN$1*A98^2+AN$2*A98^0.5</f>
        <v>9744.367132317184</v>
      </c>
      <c r="AM23" s="12"/>
      <c r="AN23" s="12"/>
      <c r="AO23" s="12"/>
      <c r="AP23" s="14"/>
      <c r="AQ23" s="14"/>
      <c r="AR23" s="14"/>
      <c r="AS23" s="14"/>
    </row>
    <row r="24" spans="1:45" s="2" customFormat="1" ht="13.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6">
        <f t="shared" si="5"/>
        <v>88</v>
      </c>
      <c r="AB24" s="17">
        <f t="shared" si="0"/>
        <v>4410.156928453738</v>
      </c>
      <c r="AC24" s="17">
        <f t="shared" si="6"/>
        <v>52.557709820759875</v>
      </c>
      <c r="AD24" s="17">
        <f t="shared" si="7"/>
        <v>50.115419641519736</v>
      </c>
      <c r="AE24" s="17">
        <f t="shared" si="8"/>
        <v>869.8430715462632</v>
      </c>
      <c r="AF24" s="17">
        <f t="shared" si="9"/>
        <v>88</v>
      </c>
      <c r="AG24" s="17">
        <f t="shared" si="10"/>
        <v>-100000</v>
      </c>
      <c r="AH24" s="34">
        <f t="shared" si="1"/>
        <v>60</v>
      </c>
      <c r="AI24" s="17">
        <f t="shared" si="2"/>
        <v>51.188765527462344</v>
      </c>
      <c r="AJ24" s="34">
        <f t="shared" si="3"/>
        <v>60</v>
      </c>
      <c r="AK24" s="18">
        <f t="shared" si="4"/>
        <v>60</v>
      </c>
      <c r="AL24" s="12"/>
      <c r="AM24" s="12"/>
      <c r="AN24" s="12"/>
      <c r="AO24" s="12"/>
      <c r="AP24" s="14"/>
      <c r="AQ24" s="14"/>
      <c r="AR24" s="14"/>
      <c r="AS24" s="14"/>
    </row>
    <row r="25" spans="1:45" s="2" customFormat="1" ht="13.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6">
        <f t="shared" si="5"/>
        <v>92</v>
      </c>
      <c r="AB25" s="17">
        <f t="shared" si="0"/>
        <v>4623.014745270295</v>
      </c>
      <c r="AC25" s="17">
        <f t="shared" si="6"/>
        <v>53.875080137338564</v>
      </c>
      <c r="AD25" s="17">
        <f t="shared" si="7"/>
        <v>50.25016027467713</v>
      </c>
      <c r="AE25" s="17">
        <f t="shared" si="8"/>
        <v>896.9852547297041</v>
      </c>
      <c r="AF25" s="17">
        <f t="shared" si="9"/>
        <v>92</v>
      </c>
      <c r="AG25" s="17">
        <f t="shared" si="10"/>
        <v>-100000</v>
      </c>
      <c r="AH25" s="34">
        <f t="shared" si="1"/>
        <v>60</v>
      </c>
      <c r="AI25" s="17">
        <f t="shared" si="2"/>
        <v>51.188765527462344</v>
      </c>
      <c r="AJ25" s="34">
        <f t="shared" si="3"/>
        <v>60</v>
      </c>
      <c r="AK25" s="18">
        <f t="shared" si="4"/>
        <v>60</v>
      </c>
      <c r="AL25" s="12"/>
      <c r="AM25" s="12"/>
      <c r="AN25" s="12"/>
      <c r="AO25" s="12"/>
      <c r="AP25" s="14"/>
      <c r="AQ25" s="14"/>
      <c r="AR25" s="14"/>
      <c r="AS25" s="14"/>
    </row>
    <row r="26" spans="1:45" s="2" customFormat="1" ht="13.5" customHeight="1">
      <c r="A26" s="14"/>
      <c r="B26" s="14"/>
      <c r="C26" s="14"/>
      <c r="D26" s="14"/>
      <c r="E26" s="14"/>
      <c r="F26" s="14"/>
      <c r="G26" s="22"/>
      <c r="H26" s="22"/>
      <c r="I26" s="14"/>
      <c r="J26" s="14"/>
      <c r="K26" s="14"/>
      <c r="L26" s="14"/>
      <c r="M26" s="14"/>
      <c r="N26" s="14"/>
      <c r="O26" s="14"/>
      <c r="P26" s="14"/>
      <c r="Q26" s="14"/>
      <c r="R26" s="14"/>
      <c r="S26" s="14"/>
      <c r="T26" s="14"/>
      <c r="U26" s="14"/>
      <c r="V26" s="14"/>
      <c r="W26" s="14"/>
      <c r="X26" s="14"/>
      <c r="Y26" s="14"/>
      <c r="Z26" s="14"/>
      <c r="AA26" s="16">
        <f t="shared" si="5"/>
        <v>96</v>
      </c>
      <c r="AB26" s="17">
        <f t="shared" si="0"/>
        <v>4841.1869733608855</v>
      </c>
      <c r="AC26" s="17">
        <f t="shared" si="6"/>
        <v>55.21451548625461</v>
      </c>
      <c r="AD26" s="17">
        <f t="shared" si="7"/>
        <v>50.42903097250923</v>
      </c>
      <c r="AE26" s="17">
        <f t="shared" si="8"/>
        <v>918.8130266391138</v>
      </c>
      <c r="AF26" s="17">
        <f t="shared" si="9"/>
        <v>96</v>
      </c>
      <c r="AG26" s="17">
        <f t="shared" si="10"/>
        <v>-100000</v>
      </c>
      <c r="AH26" s="34">
        <f t="shared" si="1"/>
        <v>60</v>
      </c>
      <c r="AI26" s="17">
        <f t="shared" si="2"/>
        <v>51.188765527462344</v>
      </c>
      <c r="AJ26" s="34">
        <f t="shared" si="3"/>
        <v>60</v>
      </c>
      <c r="AK26" s="18">
        <f t="shared" si="4"/>
        <v>60</v>
      </c>
      <c r="AL26" s="12"/>
      <c r="AM26" s="12"/>
      <c r="AN26" s="12"/>
      <c r="AO26" s="12"/>
      <c r="AP26" s="14"/>
      <c r="AQ26" s="14"/>
      <c r="AR26" s="14"/>
      <c r="AS26" s="14"/>
    </row>
    <row r="27" spans="1:45" s="2" customFormat="1" ht="13.5" customHeight="1">
      <c r="A27" s="22"/>
      <c r="B27" s="22"/>
      <c r="C27" s="22"/>
      <c r="D27" s="14"/>
      <c r="E27" s="14"/>
      <c r="F27" s="14"/>
      <c r="G27" s="22"/>
      <c r="H27" s="22"/>
      <c r="I27" s="14"/>
      <c r="J27" s="14"/>
      <c r="K27" s="14"/>
      <c r="L27" s="14"/>
      <c r="M27" s="14"/>
      <c r="N27" s="14"/>
      <c r="O27" s="14"/>
      <c r="P27" s="14"/>
      <c r="Q27" s="14"/>
      <c r="R27" s="14"/>
      <c r="S27" s="14"/>
      <c r="T27" s="14"/>
      <c r="U27" s="14"/>
      <c r="V27" s="14"/>
      <c r="W27" s="14"/>
      <c r="X27" s="14"/>
      <c r="Y27" s="14"/>
      <c r="Z27" s="14"/>
      <c r="AA27" s="16">
        <f t="shared" si="5"/>
        <v>100</v>
      </c>
      <c r="AB27" s="17">
        <f t="shared" si="0"/>
        <v>5064.757303333053</v>
      </c>
      <c r="AC27" s="17">
        <f t="shared" si="6"/>
        <v>56.573786516665265</v>
      </c>
      <c r="AD27" s="17">
        <f t="shared" si="7"/>
        <v>50.64757303333053</v>
      </c>
      <c r="AE27" s="17">
        <f t="shared" si="8"/>
        <v>935.2426966669469</v>
      </c>
      <c r="AF27" s="17">
        <f t="shared" si="9"/>
        <v>100</v>
      </c>
      <c r="AG27" s="17">
        <f t="shared" si="10"/>
        <v>-100000</v>
      </c>
      <c r="AH27" s="34">
        <f t="shared" si="1"/>
        <v>60</v>
      </c>
      <c r="AI27" s="17">
        <f t="shared" si="2"/>
        <v>51.188765527462344</v>
      </c>
      <c r="AJ27" s="34">
        <f t="shared" si="3"/>
        <v>60</v>
      </c>
      <c r="AK27" s="18">
        <f t="shared" si="4"/>
        <v>60</v>
      </c>
      <c r="AL27" s="12"/>
      <c r="AM27" s="12"/>
      <c r="AN27" s="12"/>
      <c r="AO27" s="12"/>
      <c r="AP27" s="14"/>
      <c r="AQ27" s="14"/>
      <c r="AR27" s="14"/>
      <c r="AS27" s="14"/>
    </row>
    <row r="28" spans="1:45" s="2" customFormat="1" ht="13.5" customHeight="1">
      <c r="A28" s="22"/>
      <c r="B28" s="22"/>
      <c r="C28" s="22"/>
      <c r="D28" s="14"/>
      <c r="E28" s="14"/>
      <c r="F28" s="14"/>
      <c r="G28" s="14"/>
      <c r="H28" s="14"/>
      <c r="I28" s="14"/>
      <c r="J28" s="14"/>
      <c r="K28" s="14"/>
      <c r="L28" s="14"/>
      <c r="M28" s="14"/>
      <c r="N28" s="14"/>
      <c r="O28" s="14"/>
      <c r="P28" s="14"/>
      <c r="Q28" s="14"/>
      <c r="R28" s="14"/>
      <c r="S28" s="14"/>
      <c r="T28" s="14"/>
      <c r="U28" s="14"/>
      <c r="V28" s="14"/>
      <c r="W28" s="14"/>
      <c r="X28" s="14"/>
      <c r="Y28" s="14"/>
      <c r="Z28" s="14"/>
      <c r="AA28" s="16">
        <f t="shared" si="5"/>
        <v>104</v>
      </c>
      <c r="AB28" s="17">
        <f t="shared" si="0"/>
        <v>5293.801133597701</v>
      </c>
      <c r="AC28" s="17">
        <f t="shared" si="6"/>
        <v>57.95096698845049</v>
      </c>
      <c r="AD28" s="17">
        <f t="shared" si="7"/>
        <v>50.90193397690098</v>
      </c>
      <c r="AE28" s="17">
        <f t="shared" si="8"/>
        <v>946.1988664022983</v>
      </c>
      <c r="AF28" s="17">
        <f t="shared" si="9"/>
        <v>104</v>
      </c>
      <c r="AG28" s="17">
        <f t="shared" si="10"/>
        <v>-100000</v>
      </c>
      <c r="AH28" s="34">
        <f t="shared" si="1"/>
        <v>60</v>
      </c>
      <c r="AI28" s="17">
        <f t="shared" si="2"/>
        <v>51.188765527462344</v>
      </c>
      <c r="AJ28" s="34">
        <f t="shared" si="3"/>
        <v>60</v>
      </c>
      <c r="AK28" s="18">
        <f t="shared" si="4"/>
        <v>60</v>
      </c>
      <c r="AL28" s="12"/>
      <c r="AM28" s="12"/>
      <c r="AN28" s="12"/>
      <c r="AO28" s="12"/>
      <c r="AP28" s="14"/>
      <c r="AQ28" s="14"/>
      <c r="AR28" s="14"/>
      <c r="AS28" s="14"/>
    </row>
    <row r="29" spans="1:45" s="2" customFormat="1" ht="13.5" customHeight="1">
      <c r="A29" s="22"/>
      <c r="B29" s="22"/>
      <c r="C29" s="22"/>
      <c r="D29" s="22"/>
      <c r="E29" s="14"/>
      <c r="F29" s="14"/>
      <c r="G29" s="14"/>
      <c r="H29" s="14"/>
      <c r="I29" s="14"/>
      <c r="J29" s="14"/>
      <c r="K29" s="14"/>
      <c r="L29" s="14"/>
      <c r="M29" s="14"/>
      <c r="N29" s="14"/>
      <c r="O29" s="14"/>
      <c r="P29" s="14"/>
      <c r="Q29" s="14"/>
      <c r="R29" s="14"/>
      <c r="S29" s="14"/>
      <c r="T29" s="14"/>
      <c r="U29" s="14"/>
      <c r="V29" s="14"/>
      <c r="W29" s="14"/>
      <c r="X29" s="14"/>
      <c r="Y29" s="14"/>
      <c r="Z29" s="14"/>
      <c r="AA29" s="16">
        <f t="shared" si="5"/>
        <v>108</v>
      </c>
      <c r="AB29" s="17">
        <f t="shared" si="0"/>
        <v>5528.3866769659335</v>
      </c>
      <c r="AC29" s="17">
        <f t="shared" si="6"/>
        <v>59.344382763731176</v>
      </c>
      <c r="AD29" s="17">
        <f t="shared" si="7"/>
        <v>51.18876552746235</v>
      </c>
      <c r="AE29" s="17">
        <f t="shared" si="8"/>
        <v>951.6133230340661</v>
      </c>
      <c r="AF29" s="17">
        <f t="shared" si="9"/>
        <v>-1000000</v>
      </c>
      <c r="AG29" s="17">
        <f t="shared" si="10"/>
        <v>108</v>
      </c>
      <c r="AH29" s="34">
        <f t="shared" si="1"/>
        <v>60</v>
      </c>
      <c r="AI29" s="17">
        <f t="shared" si="2"/>
        <v>51.188765527462344</v>
      </c>
      <c r="AJ29" s="34">
        <f t="shared" si="3"/>
        <v>60</v>
      </c>
      <c r="AK29" s="18">
        <f t="shared" si="4"/>
        <v>60</v>
      </c>
      <c r="AL29" s="12"/>
      <c r="AM29" s="12"/>
      <c r="AN29" s="12"/>
      <c r="AO29" s="12"/>
      <c r="AP29" s="14"/>
      <c r="AQ29" s="14"/>
      <c r="AR29" s="14"/>
      <c r="AS29" s="14"/>
    </row>
    <row r="30" spans="1:45" s="2" customFormat="1" ht="13.5" customHeight="1">
      <c r="A30" s="22"/>
      <c r="B30" s="22"/>
      <c r="C30" s="22"/>
      <c r="D30" s="22"/>
      <c r="E30" s="14"/>
      <c r="F30" s="14"/>
      <c r="G30" s="14"/>
      <c r="H30" s="14"/>
      <c r="I30" s="14"/>
      <c r="J30" s="14"/>
      <c r="K30" s="14"/>
      <c r="L30" s="14"/>
      <c r="M30" s="14"/>
      <c r="N30" s="14"/>
      <c r="O30" s="14"/>
      <c r="P30" s="14"/>
      <c r="Q30" s="14"/>
      <c r="R30" s="14"/>
      <c r="S30" s="14"/>
      <c r="T30" s="14"/>
      <c r="U30" s="14"/>
      <c r="V30" s="14"/>
      <c r="W30" s="14"/>
      <c r="X30" s="14"/>
      <c r="Y30" s="14"/>
      <c r="Z30" s="14"/>
      <c r="AA30" s="16">
        <f t="shared" si="5"/>
        <v>112</v>
      </c>
      <c r="AB30" s="17">
        <f t="shared" si="0"/>
        <v>5768.5758843197955</v>
      </c>
      <c r="AC30" s="17">
        <f t="shared" si="6"/>
        <v>60.75257091214195</v>
      </c>
      <c r="AD30" s="17">
        <f t="shared" si="7"/>
        <v>51.50514182428388</v>
      </c>
      <c r="AE30" s="17">
        <f t="shared" si="8"/>
        <v>951.4241156802052</v>
      </c>
      <c r="AF30" s="17">
        <f t="shared" si="9"/>
        <v>112</v>
      </c>
      <c r="AG30" s="17">
        <f t="shared" si="10"/>
        <v>-100000</v>
      </c>
      <c r="AH30" s="34">
        <f t="shared" si="1"/>
        <v>60</v>
      </c>
      <c r="AI30" s="17">
        <f t="shared" si="2"/>
        <v>-100000</v>
      </c>
      <c r="AJ30" s="34">
        <f t="shared" si="3"/>
        <v>60</v>
      </c>
      <c r="AK30" s="18">
        <f t="shared" si="4"/>
        <v>-100000</v>
      </c>
      <c r="AL30" s="12"/>
      <c r="AM30" s="12"/>
      <c r="AN30" s="12"/>
      <c r="AO30" s="12"/>
      <c r="AP30" s="14"/>
      <c r="AQ30" s="14"/>
      <c r="AR30" s="14"/>
      <c r="AS30" s="14"/>
    </row>
    <row r="31" spans="1:45" s="2" customFormat="1" ht="13.5" customHeight="1">
      <c r="A31" s="22"/>
      <c r="B31" s="22"/>
      <c r="C31" s="22"/>
      <c r="D31" s="22"/>
      <c r="E31" s="14"/>
      <c r="F31" s="14"/>
      <c r="G31" s="14"/>
      <c r="H31" s="14"/>
      <c r="I31" s="14"/>
      <c r="J31" s="14"/>
      <c r="K31" s="14"/>
      <c r="L31" s="14"/>
      <c r="M31" s="14"/>
      <c r="N31" s="14"/>
      <c r="O31" s="14"/>
      <c r="P31" s="14"/>
      <c r="Q31" s="14"/>
      <c r="R31" s="14"/>
      <c r="S31" s="14"/>
      <c r="T31" s="14"/>
      <c r="U31" s="14"/>
      <c r="V31" s="14"/>
      <c r="W31" s="14"/>
      <c r="X31" s="14"/>
      <c r="Y31" s="14"/>
      <c r="Z31" s="14"/>
      <c r="AA31" s="16">
        <f t="shared" si="5"/>
        <v>116</v>
      </c>
      <c r="AB31" s="17">
        <f t="shared" si="0"/>
        <v>6014.425221011279</v>
      </c>
      <c r="AC31" s="17">
        <f t="shared" si="6"/>
        <v>62.174246642289994</v>
      </c>
      <c r="AD31" s="17">
        <f t="shared" si="7"/>
        <v>51.84849328457999</v>
      </c>
      <c r="AE31" s="17">
        <f t="shared" si="8"/>
        <v>945.5747789887214</v>
      </c>
      <c r="AF31" s="17">
        <f t="shared" si="9"/>
        <v>116</v>
      </c>
      <c r="AG31" s="17">
        <f t="shared" si="10"/>
        <v>-100000</v>
      </c>
      <c r="AH31" s="34">
        <f t="shared" si="1"/>
        <v>60</v>
      </c>
      <c r="AI31" s="17">
        <f t="shared" si="2"/>
        <v>-100000</v>
      </c>
      <c r="AJ31" s="34">
        <f t="shared" si="3"/>
        <v>60</v>
      </c>
      <c r="AK31" s="18">
        <f t="shared" si="4"/>
        <v>-100000</v>
      </c>
      <c r="AL31" s="12"/>
      <c r="AM31" s="12"/>
      <c r="AN31" s="12"/>
      <c r="AO31" s="12"/>
      <c r="AP31" s="14"/>
      <c r="AQ31" s="14"/>
      <c r="AR31" s="14"/>
      <c r="AS31" s="14"/>
    </row>
    <row r="32" spans="1:45" s="2" customFormat="1" ht="13.5" customHeight="1">
      <c r="A32" s="22"/>
      <c r="B32" s="22"/>
      <c r="C32" s="22"/>
      <c r="D32" s="22"/>
      <c r="E32" s="14"/>
      <c r="F32" s="14"/>
      <c r="G32" s="14"/>
      <c r="H32" s="14"/>
      <c r="I32" s="14"/>
      <c r="J32" s="14"/>
      <c r="K32" s="14"/>
      <c r="L32" s="14"/>
      <c r="M32" s="14"/>
      <c r="N32" s="14"/>
      <c r="O32" s="14"/>
      <c r="P32" s="14"/>
      <c r="Q32" s="14"/>
      <c r="R32" s="14"/>
      <c r="S32" s="14"/>
      <c r="T32" s="14"/>
      <c r="U32" s="14"/>
      <c r="V32" s="14"/>
      <c r="W32" s="14"/>
      <c r="X32" s="14"/>
      <c r="Y32" s="14"/>
      <c r="Z32" s="14"/>
      <c r="AA32" s="16">
        <f t="shared" si="5"/>
        <v>120</v>
      </c>
      <c r="AB32" s="17">
        <f t="shared" si="0"/>
        <v>6265.986323710904</v>
      </c>
      <c r="AC32" s="17">
        <f t="shared" si="6"/>
        <v>63.60827634879543</v>
      </c>
      <c r="AD32" s="17">
        <f t="shared" si="7"/>
        <v>52.21655269759086</v>
      </c>
      <c r="AE32" s="17">
        <f t="shared" si="8"/>
        <v>934.0136762890963</v>
      </c>
      <c r="AF32" s="17">
        <f t="shared" si="9"/>
        <v>120</v>
      </c>
      <c r="AG32" s="17">
        <f t="shared" si="10"/>
        <v>-100000</v>
      </c>
      <c r="AH32" s="34">
        <f t="shared" si="1"/>
        <v>60</v>
      </c>
      <c r="AI32" s="17">
        <f t="shared" si="2"/>
        <v>-100000</v>
      </c>
      <c r="AJ32" s="34">
        <f t="shared" si="3"/>
        <v>60</v>
      </c>
      <c r="AK32" s="18">
        <f t="shared" si="4"/>
        <v>-100000</v>
      </c>
      <c r="AL32" s="12"/>
      <c r="AM32" s="12"/>
      <c r="AN32" s="12"/>
      <c r="AO32" s="12"/>
      <c r="AP32" s="14"/>
      <c r="AQ32" s="14"/>
      <c r="AR32" s="14"/>
      <c r="AS32" s="14"/>
    </row>
    <row r="33" spans="1:45" ht="13.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16">
        <f t="shared" si="5"/>
        <v>124</v>
      </c>
      <c r="AB33" s="17">
        <f t="shared" si="0"/>
        <v>6523.306559463661</v>
      </c>
      <c r="AC33" s="17">
        <f t="shared" si="6"/>
        <v>65.05365548170832</v>
      </c>
      <c r="AD33" s="17">
        <f t="shared" si="7"/>
        <v>52.60731096341663</v>
      </c>
      <c r="AE33" s="17">
        <f t="shared" si="8"/>
        <v>916.6934405363379</v>
      </c>
      <c r="AF33" s="17">
        <f t="shared" si="9"/>
        <v>124</v>
      </c>
      <c r="AG33" s="17">
        <f t="shared" si="10"/>
        <v>-100000</v>
      </c>
      <c r="AH33" s="34">
        <f t="shared" si="1"/>
        <v>60</v>
      </c>
      <c r="AI33" s="17">
        <f t="shared" si="2"/>
        <v>-100000</v>
      </c>
      <c r="AJ33" s="34">
        <f t="shared" si="3"/>
        <v>60</v>
      </c>
      <c r="AK33" s="18">
        <f t="shared" si="4"/>
        <v>-100000</v>
      </c>
      <c r="AL33" s="12"/>
      <c r="AM33" s="12"/>
      <c r="AN33" s="12"/>
      <c r="AO33" s="12"/>
      <c r="AP33" s="22"/>
      <c r="AQ33" s="22"/>
      <c r="AR33" s="22"/>
      <c r="AS33" s="22"/>
    </row>
    <row r="34" spans="1:45" ht="13.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16">
        <f t="shared" si="5"/>
        <v>128</v>
      </c>
      <c r="AB34" s="17">
        <f aca="true" t="shared" si="11" ref="AB34:AB55">AN$1*AA34^2+AN$2*AA34^0.5</f>
        <v>6786.429504179605</v>
      </c>
      <c r="AC34" s="17">
        <f t="shared" si="6"/>
        <v>66.50949025070157</v>
      </c>
      <c r="AD34" s="17">
        <f t="shared" si="7"/>
        <v>53.018980501403156</v>
      </c>
      <c r="AE34" s="17">
        <f t="shared" si="8"/>
        <v>893.570495820396</v>
      </c>
      <c r="AF34" s="17">
        <f t="shared" si="9"/>
        <v>128</v>
      </c>
      <c r="AG34" s="17">
        <f t="shared" si="10"/>
        <v>-100000</v>
      </c>
      <c r="AH34" s="34">
        <f aca="true" t="shared" si="12" ref="AH34:AH55">C$5</f>
        <v>60</v>
      </c>
      <c r="AI34" s="17">
        <f aca="true" t="shared" si="13" ref="AI34:AI55">IF($AA34&lt;=$C$10,C$11,-100000)</f>
        <v>-100000</v>
      </c>
      <c r="AJ34" s="34">
        <f aca="true" t="shared" si="14" ref="AJ34:AJ55">C$5</f>
        <v>60</v>
      </c>
      <c r="AK34" s="18">
        <f aca="true" t="shared" si="15" ref="AK34:AK55">IF(AI34&gt;0,C$5,-100000)</f>
        <v>-100000</v>
      </c>
      <c r="AL34" s="12"/>
      <c r="AM34" s="12"/>
      <c r="AN34" s="12"/>
      <c r="AO34" s="12"/>
      <c r="AP34" s="22"/>
      <c r="AQ34" s="22"/>
      <c r="AR34" s="22"/>
      <c r="AS34" s="22"/>
    </row>
    <row r="35" spans="1:45" ht="13.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6">
        <f aca="true" t="shared" si="16" ref="AA35:AA55">AA34+$C$6</f>
        <v>132</v>
      </c>
      <c r="AB35" s="17">
        <f t="shared" si="11"/>
        <v>7055.395354310701</v>
      </c>
      <c r="AC35" s="17">
        <f aca="true" t="shared" si="17" ref="AC35:AC55">2*AN$1*AA35+0.5*AN$2*AA35^-0.5</f>
        <v>67.97498240269205</v>
      </c>
      <c r="AD35" s="17">
        <f aca="true" t="shared" si="18" ref="AD35:AD55">AN$1*AA35+AN$2*AA35^-0.5</f>
        <v>53.4499648053841</v>
      </c>
      <c r="AE35" s="17">
        <f aca="true" t="shared" si="19" ref="AE35:AE55">(AH35-AD35)*AA35</f>
        <v>864.604645689299</v>
      </c>
      <c r="AF35" s="17">
        <f aca="true" t="shared" si="20" ref="AF35:AF55">IF(AE35&lt;AE$56,AA35,-1000000)</f>
        <v>132</v>
      </c>
      <c r="AG35" s="17">
        <f aca="true" t="shared" si="21" ref="AG35:AG55">IF(AF35&gt;0,-100000,AA35)</f>
        <v>-100000</v>
      </c>
      <c r="AH35" s="34">
        <f t="shared" si="12"/>
        <v>60</v>
      </c>
      <c r="AI35" s="17">
        <f t="shared" si="13"/>
        <v>-100000</v>
      </c>
      <c r="AJ35" s="34">
        <f t="shared" si="14"/>
        <v>60</v>
      </c>
      <c r="AK35" s="18">
        <f t="shared" si="15"/>
        <v>-100000</v>
      </c>
      <c r="AL35" s="12"/>
      <c r="AM35" s="12"/>
      <c r="AN35" s="12"/>
      <c r="AO35" s="12"/>
      <c r="AP35" s="22"/>
      <c r="AQ35" s="22"/>
      <c r="AR35" s="22"/>
      <c r="AS35" s="22"/>
    </row>
    <row r="36" spans="1:45" ht="13.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16">
        <f t="shared" si="16"/>
        <v>136</v>
      </c>
      <c r="AB36" s="17">
        <f t="shared" si="11"/>
        <v>7330.241282774747</v>
      </c>
      <c r="AC36" s="17">
        <f t="shared" si="17"/>
        <v>69.44941648078951</v>
      </c>
      <c r="AD36" s="17">
        <f t="shared" si="18"/>
        <v>53.89883296157901</v>
      </c>
      <c r="AE36" s="17">
        <f t="shared" si="19"/>
        <v>829.7587172252545</v>
      </c>
      <c r="AF36" s="17">
        <f t="shared" si="20"/>
        <v>136</v>
      </c>
      <c r="AG36" s="17">
        <f t="shared" si="21"/>
        <v>-100000</v>
      </c>
      <c r="AH36" s="34">
        <f t="shared" si="12"/>
        <v>60</v>
      </c>
      <c r="AI36" s="17">
        <f t="shared" si="13"/>
        <v>-100000</v>
      </c>
      <c r="AJ36" s="34">
        <f t="shared" si="14"/>
        <v>60</v>
      </c>
      <c r="AK36" s="18">
        <f t="shared" si="15"/>
        <v>-100000</v>
      </c>
      <c r="AL36" s="12"/>
      <c r="AM36" s="12"/>
      <c r="AN36" s="12"/>
      <c r="AO36" s="12"/>
      <c r="AP36" s="22"/>
      <c r="AQ36" s="22"/>
      <c r="AR36" s="22"/>
      <c r="AS36" s="22"/>
    </row>
    <row r="37" spans="1:45" ht="13.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16">
        <f t="shared" si="16"/>
        <v>140</v>
      </c>
      <c r="AB37" s="17">
        <f t="shared" si="11"/>
        <v>7611.001748086121</v>
      </c>
      <c r="AC37" s="17">
        <f t="shared" si="17"/>
        <v>70.93214910030757</v>
      </c>
      <c r="AD37" s="17">
        <f t="shared" si="18"/>
        <v>54.364298200615146</v>
      </c>
      <c r="AE37" s="17">
        <f t="shared" si="19"/>
        <v>788.9982519138796</v>
      </c>
      <c r="AF37" s="17">
        <f t="shared" si="20"/>
        <v>140</v>
      </c>
      <c r="AG37" s="17">
        <f t="shared" si="21"/>
        <v>-100000</v>
      </c>
      <c r="AH37" s="34">
        <f t="shared" si="12"/>
        <v>60</v>
      </c>
      <c r="AI37" s="17">
        <f t="shared" si="13"/>
        <v>-100000</v>
      </c>
      <c r="AJ37" s="34">
        <f t="shared" si="14"/>
        <v>60</v>
      </c>
      <c r="AK37" s="18">
        <f t="shared" si="15"/>
        <v>-100000</v>
      </c>
      <c r="AL37" s="12"/>
      <c r="AM37" s="12"/>
      <c r="AN37" s="12"/>
      <c r="AO37" s="12"/>
      <c r="AP37" s="22"/>
      <c r="AQ37" s="22"/>
      <c r="AR37" s="22"/>
      <c r="AS37" s="22"/>
    </row>
    <row r="38" spans="1:45" ht="13.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16">
        <f t="shared" si="16"/>
        <v>144</v>
      </c>
      <c r="AB38" s="17">
        <f t="shared" si="11"/>
        <v>7897.7087639996635</v>
      </c>
      <c r="AC38" s="17">
        <f t="shared" si="17"/>
        <v>72.42259987499884</v>
      </c>
      <c r="AD38" s="17">
        <f t="shared" si="18"/>
        <v>54.84519974999766</v>
      </c>
      <c r="AE38" s="17">
        <f t="shared" si="19"/>
        <v>742.2912360003368</v>
      </c>
      <c r="AF38" s="17">
        <f t="shared" si="20"/>
        <v>144</v>
      </c>
      <c r="AG38" s="17">
        <f t="shared" si="21"/>
        <v>-100000</v>
      </c>
      <c r="AH38" s="34">
        <f t="shared" si="12"/>
        <v>60</v>
      </c>
      <c r="AI38" s="17">
        <f t="shared" si="13"/>
        <v>-100000</v>
      </c>
      <c r="AJ38" s="34">
        <f t="shared" si="14"/>
        <v>60</v>
      </c>
      <c r="AK38" s="18">
        <f t="shared" si="15"/>
        <v>-100000</v>
      </c>
      <c r="AL38" s="12"/>
      <c r="AM38" s="12"/>
      <c r="AN38" s="12"/>
      <c r="AO38" s="12"/>
      <c r="AP38" s="22"/>
      <c r="AQ38" s="22"/>
      <c r="AR38" s="22"/>
      <c r="AS38" s="22"/>
    </row>
    <row r="39" spans="1:45" ht="13.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16">
        <f t="shared" si="16"/>
        <v>148</v>
      </c>
      <c r="AB39" s="17">
        <f t="shared" si="11"/>
        <v>8190.392135662785</v>
      </c>
      <c r="AC39" s="17">
        <f t="shared" si="17"/>
        <v>73.92024370156346</v>
      </c>
      <c r="AD39" s="17">
        <f t="shared" si="18"/>
        <v>55.34048740312693</v>
      </c>
      <c r="AE39" s="17">
        <f t="shared" si="19"/>
        <v>689.6078643372146</v>
      </c>
      <c r="AF39" s="17">
        <f t="shared" si="20"/>
        <v>148</v>
      </c>
      <c r="AG39" s="17">
        <f t="shared" si="21"/>
        <v>-100000</v>
      </c>
      <c r="AH39" s="34">
        <f t="shared" si="12"/>
        <v>60</v>
      </c>
      <c r="AI39" s="17">
        <f t="shared" si="13"/>
        <v>-100000</v>
      </c>
      <c r="AJ39" s="34">
        <f t="shared" si="14"/>
        <v>60</v>
      </c>
      <c r="AK39" s="18">
        <f t="shared" si="15"/>
        <v>-100000</v>
      </c>
      <c r="AL39" s="12"/>
      <c r="AM39" s="12"/>
      <c r="AN39" s="12"/>
      <c r="AO39" s="12"/>
      <c r="AP39" s="22"/>
      <c r="AQ39" s="22"/>
      <c r="AR39" s="22"/>
      <c r="AS39" s="22"/>
    </row>
    <row r="40" spans="1:45" ht="13.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16">
        <f t="shared" si="16"/>
        <v>152</v>
      </c>
      <c r="AB40" s="17">
        <f t="shared" si="11"/>
        <v>8489.07966722406</v>
      </c>
      <c r="AC40" s="17">
        <f t="shared" si="17"/>
        <v>75.4246041685002</v>
      </c>
      <c r="AD40" s="17">
        <f t="shared" si="18"/>
        <v>55.84920833700039</v>
      </c>
      <c r="AE40" s="17">
        <f t="shared" si="19"/>
        <v>630.9203327759406</v>
      </c>
      <c r="AF40" s="17">
        <f t="shared" si="20"/>
        <v>152</v>
      </c>
      <c r="AG40" s="17">
        <f t="shared" si="21"/>
        <v>-100000</v>
      </c>
      <c r="AH40" s="34">
        <f t="shared" si="12"/>
        <v>60</v>
      </c>
      <c r="AI40" s="17">
        <f t="shared" si="13"/>
        <v>-100000</v>
      </c>
      <c r="AJ40" s="34">
        <f t="shared" si="14"/>
        <v>60</v>
      </c>
      <c r="AK40" s="18">
        <f t="shared" si="15"/>
        <v>-100000</v>
      </c>
      <c r="AL40" s="12"/>
      <c r="AM40" s="12"/>
      <c r="AN40" s="12"/>
      <c r="AO40" s="12"/>
      <c r="AP40" s="22"/>
      <c r="AQ40" s="22"/>
      <c r="AR40" s="22"/>
      <c r="AS40" s="22"/>
    </row>
    <row r="41" spans="1:45" ht="13.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16">
        <f t="shared" si="16"/>
        <v>156</v>
      </c>
      <c r="AB41" s="17">
        <f t="shared" si="11"/>
        <v>8793.79734500505</v>
      </c>
      <c r="AC41" s="17">
        <f t="shared" si="17"/>
        <v>76.93524790065722</v>
      </c>
      <c r="AD41" s="17">
        <f t="shared" si="18"/>
        <v>56.370495801314426</v>
      </c>
      <c r="AE41" s="17">
        <f t="shared" si="19"/>
        <v>566.2026549949495</v>
      </c>
      <c r="AF41" s="17">
        <f t="shared" si="20"/>
        <v>156</v>
      </c>
      <c r="AG41" s="17">
        <f t="shared" si="21"/>
        <v>-100000</v>
      </c>
      <c r="AH41" s="34">
        <f t="shared" si="12"/>
        <v>60</v>
      </c>
      <c r="AI41" s="17">
        <f t="shared" si="13"/>
        <v>-100000</v>
      </c>
      <c r="AJ41" s="34">
        <f t="shared" si="14"/>
        <v>60</v>
      </c>
      <c r="AK41" s="18">
        <f t="shared" si="15"/>
        <v>-100000</v>
      </c>
      <c r="AL41" s="12"/>
      <c r="AM41" s="12"/>
      <c r="AN41" s="12"/>
      <c r="AO41" s="12"/>
      <c r="AP41" s="22"/>
      <c r="AQ41" s="22"/>
      <c r="AR41" s="22"/>
      <c r="AS41" s="22"/>
    </row>
    <row r="42" spans="1:45" ht="13.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16">
        <f t="shared" si="16"/>
        <v>160</v>
      </c>
      <c r="AB42" s="17">
        <f t="shared" si="11"/>
        <v>9104.569499661588</v>
      </c>
      <c r="AC42" s="17">
        <f t="shared" si="17"/>
        <v>78.45177968644246</v>
      </c>
      <c r="AD42" s="17">
        <f t="shared" si="18"/>
        <v>56.903559372884914</v>
      </c>
      <c r="AE42" s="17">
        <f t="shared" si="19"/>
        <v>495.4305003384138</v>
      </c>
      <c r="AF42" s="17">
        <f t="shared" si="20"/>
        <v>160</v>
      </c>
      <c r="AG42" s="17">
        <f t="shared" si="21"/>
        <v>-100000</v>
      </c>
      <c r="AH42" s="34">
        <f t="shared" si="12"/>
        <v>60</v>
      </c>
      <c r="AI42" s="17">
        <f t="shared" si="13"/>
        <v>-100000</v>
      </c>
      <c r="AJ42" s="34">
        <f t="shared" si="14"/>
        <v>60</v>
      </c>
      <c r="AK42" s="18">
        <f t="shared" si="15"/>
        <v>-100000</v>
      </c>
      <c r="AL42" s="12"/>
      <c r="AM42" s="12"/>
      <c r="AN42" s="12"/>
      <c r="AO42" s="12"/>
      <c r="AP42" s="22"/>
      <c r="AQ42" s="22"/>
      <c r="AR42" s="22"/>
      <c r="AS42" s="22"/>
    </row>
    <row r="43" spans="1:45" ht="13.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16">
        <f t="shared" si="16"/>
        <v>164</v>
      </c>
      <c r="AB43" s="17">
        <f t="shared" si="11"/>
        <v>9421.418950207028</v>
      </c>
      <c r="AC43" s="17">
        <f t="shared" si="17"/>
        <v>79.97383826282632</v>
      </c>
      <c r="AD43" s="17">
        <f t="shared" si="18"/>
        <v>57.44767652565261</v>
      </c>
      <c r="AE43" s="17">
        <f t="shared" si="19"/>
        <v>418.58104979297184</v>
      </c>
      <c r="AF43" s="17">
        <f t="shared" si="20"/>
        <v>164</v>
      </c>
      <c r="AG43" s="17">
        <f t="shared" si="21"/>
        <v>-100000</v>
      </c>
      <c r="AH43" s="34">
        <f t="shared" si="12"/>
        <v>60</v>
      </c>
      <c r="AI43" s="17">
        <f t="shared" si="13"/>
        <v>-100000</v>
      </c>
      <c r="AJ43" s="34">
        <f t="shared" si="14"/>
        <v>60</v>
      </c>
      <c r="AK43" s="18">
        <f t="shared" si="15"/>
        <v>-100000</v>
      </c>
      <c r="AL43" s="12"/>
      <c r="AM43" s="12"/>
      <c r="AN43" s="12"/>
      <c r="AO43" s="12"/>
      <c r="AP43" s="22"/>
      <c r="AQ43" s="22"/>
      <c r="AR43" s="22"/>
      <c r="AS43" s="22"/>
    </row>
    <row r="44" spans="1:45" ht="13.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16">
        <f t="shared" si="16"/>
        <v>168</v>
      </c>
      <c r="AB44" s="17">
        <f t="shared" si="11"/>
        <v>9744.367132317184</v>
      </c>
      <c r="AC44" s="17">
        <f t="shared" si="17"/>
        <v>81.5010926557059</v>
      </c>
      <c r="AD44" s="17">
        <f t="shared" si="18"/>
        <v>58.00218531141181</v>
      </c>
      <c r="AE44" s="17">
        <f t="shared" si="19"/>
        <v>335.63286768281637</v>
      </c>
      <c r="AF44" s="17">
        <f t="shared" si="20"/>
        <v>168</v>
      </c>
      <c r="AG44" s="17">
        <f t="shared" si="21"/>
        <v>-100000</v>
      </c>
      <c r="AH44" s="34">
        <f t="shared" si="12"/>
        <v>60</v>
      </c>
      <c r="AI44" s="17">
        <f t="shared" si="13"/>
        <v>-100000</v>
      </c>
      <c r="AJ44" s="34">
        <f t="shared" si="14"/>
        <v>60</v>
      </c>
      <c r="AK44" s="18">
        <f t="shared" si="15"/>
        <v>-100000</v>
      </c>
      <c r="AL44" s="12"/>
      <c r="AM44" s="12"/>
      <c r="AN44" s="12"/>
      <c r="AO44" s="12"/>
      <c r="AP44" s="22"/>
      <c r="AQ44" s="22"/>
      <c r="AR44" s="22"/>
      <c r="AS44" s="22"/>
    </row>
    <row r="45" spans="1:45" ht="13.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16">
        <f t="shared" si="16"/>
        <v>172</v>
      </c>
      <c r="AB45" s="17">
        <f t="shared" si="11"/>
        <v>10073.434212964048</v>
      </c>
      <c r="AC45" s="17">
        <f t="shared" si="17"/>
        <v>83.03323899117456</v>
      </c>
      <c r="AD45" s="17">
        <f t="shared" si="18"/>
        <v>58.56647798234911</v>
      </c>
      <c r="AE45" s="17">
        <f t="shared" si="19"/>
        <v>246.56578703595255</v>
      </c>
      <c r="AF45" s="17">
        <f t="shared" si="20"/>
        <v>172</v>
      </c>
      <c r="AG45" s="17">
        <f t="shared" si="21"/>
        <v>-100000</v>
      </c>
      <c r="AH45" s="34">
        <f t="shared" si="12"/>
        <v>60</v>
      </c>
      <c r="AI45" s="17">
        <f t="shared" si="13"/>
        <v>-100000</v>
      </c>
      <c r="AJ45" s="34">
        <f t="shared" si="14"/>
        <v>60</v>
      </c>
      <c r="AK45" s="18">
        <f t="shared" si="15"/>
        <v>-100000</v>
      </c>
      <c r="AL45" s="12"/>
      <c r="AM45" s="12"/>
      <c r="AN45" s="12"/>
      <c r="AO45" s="12"/>
      <c r="AP45" s="22"/>
      <c r="AQ45" s="22"/>
      <c r="AR45" s="22"/>
      <c r="AS45" s="22"/>
    </row>
    <row r="46" spans="1:45" ht="13.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16">
        <f t="shared" si="16"/>
        <v>176</v>
      </c>
      <c r="AB46" s="17">
        <f t="shared" si="11"/>
        <v>10408.639193117688</v>
      </c>
      <c r="AC46" s="17">
        <f t="shared" si="17"/>
        <v>84.56999770772072</v>
      </c>
      <c r="AD46" s="17">
        <f t="shared" si="18"/>
        <v>59.139995415441405</v>
      </c>
      <c r="AE46" s="17">
        <f t="shared" si="19"/>
        <v>151.36080688231277</v>
      </c>
      <c r="AF46" s="17">
        <f t="shared" si="20"/>
        <v>176</v>
      </c>
      <c r="AG46" s="17">
        <f t="shared" si="21"/>
        <v>-100000</v>
      </c>
      <c r="AH46" s="34">
        <f t="shared" si="12"/>
        <v>60</v>
      </c>
      <c r="AI46" s="17">
        <f t="shared" si="13"/>
        <v>-100000</v>
      </c>
      <c r="AJ46" s="34">
        <f t="shared" si="14"/>
        <v>60</v>
      </c>
      <c r="AK46" s="18">
        <f t="shared" si="15"/>
        <v>-100000</v>
      </c>
      <c r="AL46" s="12"/>
      <c r="AM46" s="12"/>
      <c r="AN46" s="12"/>
      <c r="AO46" s="12"/>
      <c r="AP46" s="22"/>
      <c r="AQ46" s="22"/>
      <c r="AR46" s="22"/>
      <c r="AS46" s="22"/>
    </row>
    <row r="47" spans="1:45" ht="13.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16">
        <f t="shared" si="16"/>
        <v>180</v>
      </c>
      <c r="AB47" s="17">
        <f t="shared" si="11"/>
        <v>10750</v>
      </c>
      <c r="AC47" s="17">
        <f t="shared" si="17"/>
        <v>86.11111111111111</v>
      </c>
      <c r="AD47" s="17">
        <f t="shared" si="18"/>
        <v>59.72222222222222</v>
      </c>
      <c r="AE47" s="17">
        <f t="shared" si="19"/>
        <v>50.00000000000014</v>
      </c>
      <c r="AF47" s="17">
        <f t="shared" si="20"/>
        <v>180</v>
      </c>
      <c r="AG47" s="17">
        <f t="shared" si="21"/>
        <v>-100000</v>
      </c>
      <c r="AH47" s="34">
        <f t="shared" si="12"/>
        <v>60</v>
      </c>
      <c r="AI47" s="17">
        <f t="shared" si="13"/>
        <v>-100000</v>
      </c>
      <c r="AJ47" s="34">
        <f t="shared" si="14"/>
        <v>60</v>
      </c>
      <c r="AK47" s="18">
        <f t="shared" si="15"/>
        <v>-100000</v>
      </c>
      <c r="AL47" s="12"/>
      <c r="AM47" s="12"/>
      <c r="AN47" s="12"/>
      <c r="AO47" s="12"/>
      <c r="AP47" s="22"/>
      <c r="AQ47" s="22"/>
      <c r="AR47" s="22"/>
      <c r="AS47" s="22"/>
    </row>
    <row r="48" spans="1:45" ht="13.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16">
        <f t="shared" si="16"/>
        <v>184</v>
      </c>
      <c r="AB48" s="17">
        <f t="shared" si="11"/>
        <v>11097.533570160827</v>
      </c>
      <c r="AC48" s="17">
        <f t="shared" si="17"/>
        <v>87.65634122326313</v>
      </c>
      <c r="AD48" s="17">
        <f t="shared" si="18"/>
        <v>60.31268244652624</v>
      </c>
      <c r="AE48" s="17">
        <f t="shared" si="19"/>
        <v>-57.533570160827935</v>
      </c>
      <c r="AF48" s="17">
        <f t="shared" si="20"/>
        <v>184</v>
      </c>
      <c r="AG48" s="17">
        <f t="shared" si="21"/>
        <v>-100000</v>
      </c>
      <c r="AH48" s="34">
        <f t="shared" si="12"/>
        <v>60</v>
      </c>
      <c r="AI48" s="17">
        <f t="shared" si="13"/>
        <v>-100000</v>
      </c>
      <c r="AJ48" s="34">
        <f t="shared" si="14"/>
        <v>60</v>
      </c>
      <c r="AK48" s="18">
        <f t="shared" si="15"/>
        <v>-100000</v>
      </c>
      <c r="AL48" s="12"/>
      <c r="AM48" s="12"/>
      <c r="AN48" s="12"/>
      <c r="AO48" s="12"/>
      <c r="AP48" s="22"/>
      <c r="AQ48" s="22"/>
      <c r="AR48" s="22"/>
      <c r="AS48" s="22"/>
    </row>
    <row r="49" spans="1:45" ht="13.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16">
        <f t="shared" si="16"/>
        <v>188</v>
      </c>
      <c r="AB49" s="17">
        <f t="shared" si="11"/>
        <v>11451.255924468238</v>
      </c>
      <c r="AC49" s="17">
        <f t="shared" si="17"/>
        <v>89.20546788422405</v>
      </c>
      <c r="AD49" s="17">
        <f t="shared" si="18"/>
        <v>60.91093576844808</v>
      </c>
      <c r="AE49" s="17">
        <f t="shared" si="19"/>
        <v>-171.25592446823848</v>
      </c>
      <c r="AF49" s="17">
        <f t="shared" si="20"/>
        <v>188</v>
      </c>
      <c r="AG49" s="17">
        <f t="shared" si="21"/>
        <v>-100000</v>
      </c>
      <c r="AH49" s="34">
        <f t="shared" si="12"/>
        <v>60</v>
      </c>
      <c r="AI49" s="17">
        <f t="shared" si="13"/>
        <v>-100000</v>
      </c>
      <c r="AJ49" s="34">
        <f t="shared" si="14"/>
        <v>60</v>
      </c>
      <c r="AK49" s="18">
        <f t="shared" si="15"/>
        <v>-100000</v>
      </c>
      <c r="AL49" s="12"/>
      <c r="AM49" s="12"/>
      <c r="AN49" s="12"/>
      <c r="AO49" s="12"/>
      <c r="AP49" s="22"/>
      <c r="AQ49" s="22"/>
      <c r="AR49" s="22"/>
      <c r="AS49" s="22"/>
    </row>
    <row r="50" spans="1:45" ht="13.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16">
        <f t="shared" si="16"/>
        <v>192</v>
      </c>
      <c r="AB50" s="17">
        <f t="shared" si="11"/>
        <v>11811.182235954577</v>
      </c>
      <c r="AC50" s="17">
        <f t="shared" si="17"/>
        <v>90.75828707279838</v>
      </c>
      <c r="AD50" s="17">
        <f t="shared" si="18"/>
        <v>61.51657414559676</v>
      </c>
      <c r="AE50" s="17">
        <f t="shared" si="19"/>
        <v>-291.1822359545786</v>
      </c>
      <c r="AF50" s="17">
        <f t="shared" si="20"/>
        <v>192</v>
      </c>
      <c r="AG50" s="17">
        <f t="shared" si="21"/>
        <v>-100000</v>
      </c>
      <c r="AH50" s="34">
        <f t="shared" si="12"/>
        <v>60</v>
      </c>
      <c r="AI50" s="17">
        <f t="shared" si="13"/>
        <v>-100000</v>
      </c>
      <c r="AJ50" s="34">
        <f t="shared" si="14"/>
        <v>60</v>
      </c>
      <c r="AK50" s="18">
        <f t="shared" si="15"/>
        <v>-100000</v>
      </c>
      <c r="AL50" s="12"/>
      <c r="AM50" s="12"/>
      <c r="AN50" s="12"/>
      <c r="AO50" s="12"/>
      <c r="AP50" s="22"/>
      <c r="AQ50" s="22"/>
      <c r="AR50" s="22"/>
      <c r="AS50" s="22"/>
    </row>
    <row r="51" spans="1:45" ht="13.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16">
        <f t="shared" si="16"/>
        <v>196</v>
      </c>
      <c r="AB51" s="17">
        <f t="shared" si="11"/>
        <v>12177.326891332941</v>
      </c>
      <c r="AC51" s="17">
        <f t="shared" si="17"/>
        <v>92.31460941666566</v>
      </c>
      <c r="AD51" s="17">
        <f t="shared" si="18"/>
        <v>62.12921883333133</v>
      </c>
      <c r="AE51" s="17">
        <f t="shared" si="19"/>
        <v>-417.3268913329405</v>
      </c>
      <c r="AF51" s="17">
        <f t="shared" si="20"/>
        <v>196</v>
      </c>
      <c r="AG51" s="17">
        <f t="shared" si="21"/>
        <v>-100000</v>
      </c>
      <c r="AH51" s="34">
        <f t="shared" si="12"/>
        <v>60</v>
      </c>
      <c r="AI51" s="17">
        <f t="shared" si="13"/>
        <v>-100000</v>
      </c>
      <c r="AJ51" s="34">
        <f t="shared" si="14"/>
        <v>60</v>
      </c>
      <c r="AK51" s="18">
        <f t="shared" si="15"/>
        <v>-100000</v>
      </c>
      <c r="AL51" s="12"/>
      <c r="AM51" s="12"/>
      <c r="AN51" s="12"/>
      <c r="AO51" s="12"/>
      <c r="AP51" s="22"/>
      <c r="AQ51" s="22"/>
      <c r="AR51" s="22"/>
      <c r="AS51" s="22"/>
    </row>
    <row r="52" spans="1:45" ht="13.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16">
        <f t="shared" si="16"/>
        <v>200</v>
      </c>
      <c r="AB52" s="17">
        <f t="shared" si="11"/>
        <v>12549.703546891173</v>
      </c>
      <c r="AC52" s="17">
        <f t="shared" si="17"/>
        <v>93.87425886722794</v>
      </c>
      <c r="AD52" s="17">
        <f t="shared" si="18"/>
        <v>62.748517734455866</v>
      </c>
      <c r="AE52" s="17">
        <f t="shared" si="19"/>
        <v>-549.7035468911733</v>
      </c>
      <c r="AF52" s="17">
        <f t="shared" si="20"/>
        <v>200</v>
      </c>
      <c r="AG52" s="17">
        <f t="shared" si="21"/>
        <v>-100000</v>
      </c>
      <c r="AH52" s="34">
        <f t="shared" si="12"/>
        <v>60</v>
      </c>
      <c r="AI52" s="17">
        <f t="shared" si="13"/>
        <v>-100000</v>
      </c>
      <c r="AJ52" s="34">
        <f t="shared" si="14"/>
        <v>60</v>
      </c>
      <c r="AK52" s="18">
        <f t="shared" si="15"/>
        <v>-100000</v>
      </c>
      <c r="AL52" s="12"/>
      <c r="AM52" s="12"/>
      <c r="AN52" s="12"/>
      <c r="AO52" s="12"/>
      <c r="AP52" s="22"/>
      <c r="AQ52" s="22"/>
      <c r="AR52" s="22"/>
      <c r="AS52" s="22"/>
    </row>
    <row r="53" spans="1:45" ht="13.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16">
        <f t="shared" si="16"/>
        <v>204</v>
      </c>
      <c r="AB53" s="17">
        <f t="shared" si="11"/>
        <v>12928.325179379017</v>
      </c>
      <c r="AC53" s="17">
        <f t="shared" si="17"/>
        <v>95.43707151808582</v>
      </c>
      <c r="AD53" s="17">
        <f t="shared" si="18"/>
        <v>63.374143036171645</v>
      </c>
      <c r="AE53" s="17">
        <f t="shared" si="19"/>
        <v>-688.3251793790157</v>
      </c>
      <c r="AF53" s="17">
        <f t="shared" si="20"/>
        <v>204</v>
      </c>
      <c r="AG53" s="17">
        <f t="shared" si="21"/>
        <v>-100000</v>
      </c>
      <c r="AH53" s="34">
        <f t="shared" si="12"/>
        <v>60</v>
      </c>
      <c r="AI53" s="17">
        <f t="shared" si="13"/>
        <v>-100000</v>
      </c>
      <c r="AJ53" s="34">
        <f t="shared" si="14"/>
        <v>60</v>
      </c>
      <c r="AK53" s="18">
        <f t="shared" si="15"/>
        <v>-100000</v>
      </c>
      <c r="AL53" s="12"/>
      <c r="AM53" s="12"/>
      <c r="AN53" s="12"/>
      <c r="AO53" s="12"/>
      <c r="AP53" s="22"/>
      <c r="AQ53" s="22"/>
      <c r="AR53" s="22"/>
      <c r="AS53" s="22"/>
    </row>
    <row r="54" spans="1:45" ht="13.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16">
        <f t="shared" si="16"/>
        <v>208</v>
      </c>
      <c r="AB54" s="17">
        <f t="shared" si="11"/>
        <v>13313.204132425893</v>
      </c>
      <c r="AC54" s="17">
        <f t="shared" si="17"/>
        <v>97.00289454910072</v>
      </c>
      <c r="AD54" s="17">
        <f t="shared" si="18"/>
        <v>64.0057890982014</v>
      </c>
      <c r="AE54" s="17">
        <f t="shared" si="19"/>
        <v>-833.2041324258921</v>
      </c>
      <c r="AF54" s="17">
        <f t="shared" si="20"/>
        <v>208</v>
      </c>
      <c r="AG54" s="17">
        <f t="shared" si="21"/>
        <v>-100000</v>
      </c>
      <c r="AH54" s="34">
        <f t="shared" si="12"/>
        <v>60</v>
      </c>
      <c r="AI54" s="17">
        <f t="shared" si="13"/>
        <v>-100000</v>
      </c>
      <c r="AJ54" s="34">
        <f t="shared" si="14"/>
        <v>60</v>
      </c>
      <c r="AK54" s="18">
        <f t="shared" si="15"/>
        <v>-100000</v>
      </c>
      <c r="AL54" s="12"/>
      <c r="AM54" s="12"/>
      <c r="AN54" s="12"/>
      <c r="AO54" s="12"/>
      <c r="AP54" s="22"/>
      <c r="AQ54" s="22"/>
      <c r="AR54" s="22"/>
      <c r="AS54" s="22"/>
    </row>
    <row r="55" spans="1:45" ht="13.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16">
        <f t="shared" si="16"/>
        <v>212</v>
      </c>
      <c r="AB55" s="17">
        <f t="shared" si="11"/>
        <v>13704.352158959922</v>
      </c>
      <c r="AC55" s="17">
        <f t="shared" si="17"/>
        <v>98.57158528056587</v>
      </c>
      <c r="AD55" s="17">
        <f t="shared" si="18"/>
        <v>64.64317056113171</v>
      </c>
      <c r="AE55" s="17">
        <f t="shared" si="19"/>
        <v>-984.3521589599228</v>
      </c>
      <c r="AF55" s="17">
        <f t="shared" si="20"/>
        <v>212</v>
      </c>
      <c r="AG55" s="17">
        <f t="shared" si="21"/>
        <v>-100000</v>
      </c>
      <c r="AH55" s="34">
        <f t="shared" si="12"/>
        <v>60</v>
      </c>
      <c r="AI55" s="17">
        <f t="shared" si="13"/>
        <v>-100000</v>
      </c>
      <c r="AJ55" s="34">
        <f t="shared" si="14"/>
        <v>60</v>
      </c>
      <c r="AK55" s="18">
        <f t="shared" si="15"/>
        <v>-100000</v>
      </c>
      <c r="AL55" s="12"/>
      <c r="AM55" s="12"/>
      <c r="AN55" s="12"/>
      <c r="AO55" s="12"/>
      <c r="AP55" s="22"/>
      <c r="AQ55" s="22"/>
      <c r="AR55" s="22"/>
      <c r="AS55" s="22"/>
    </row>
    <row r="56" spans="1:45" ht="13.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12"/>
      <c r="AB56" s="12"/>
      <c r="AC56" s="12"/>
      <c r="AD56" s="12"/>
      <c r="AE56" s="12">
        <f>MAX(AE2:AE55)</f>
        <v>951.6133230340661</v>
      </c>
      <c r="AF56" s="12"/>
      <c r="AG56" s="12"/>
      <c r="AH56" s="12"/>
      <c r="AI56" s="12"/>
      <c r="AJ56" s="12"/>
      <c r="AK56" s="12"/>
      <c r="AL56" s="12"/>
      <c r="AM56" s="12"/>
      <c r="AN56" s="12"/>
      <c r="AO56" s="12"/>
      <c r="AP56" s="22"/>
      <c r="AQ56" s="22"/>
      <c r="AR56" s="22"/>
      <c r="AS56" s="22"/>
    </row>
    <row r="57" spans="1:45" ht="13.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12"/>
      <c r="AB57" s="12"/>
      <c r="AC57" s="12"/>
      <c r="AD57" s="12"/>
      <c r="AE57" s="12"/>
      <c r="AF57" s="12"/>
      <c r="AG57" s="12"/>
      <c r="AH57" s="12"/>
      <c r="AI57" s="12"/>
      <c r="AJ57" s="12"/>
      <c r="AK57" s="12"/>
      <c r="AL57" s="12"/>
      <c r="AM57" s="12"/>
      <c r="AN57" s="12"/>
      <c r="AO57" s="12"/>
      <c r="AP57" s="22"/>
      <c r="AQ57" s="22"/>
      <c r="AR57" s="22"/>
      <c r="AS57" s="22"/>
    </row>
    <row r="58" spans="1:45" ht="13.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row>
    <row r="59" spans="1:45" ht="13.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row>
    <row r="60" spans="1:45" ht="13.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row>
    <row r="61" spans="1:45" ht="13.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row>
    <row r="62" spans="1:45" ht="13.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row>
    <row r="63" spans="1:45" ht="13.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row>
    <row r="64" spans="1:45" ht="13.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row>
    <row r="65" spans="1:45" ht="13.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row>
    <row r="66" spans="1:45" ht="13.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row>
    <row r="67" spans="1:45" ht="13.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row>
    <row r="68" spans="1:45" ht="13.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row>
    <row r="69" spans="1:45" ht="13.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row>
    <row r="70" spans="1:45" ht="13.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row>
    <row r="71" spans="1:45" ht="13.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row>
    <row r="72" spans="1:45" ht="13.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row>
    <row r="73" spans="1:45" ht="13.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row>
    <row r="74" spans="1:45" ht="13.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row>
    <row r="75" spans="1:45" ht="13.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row>
    <row r="76" spans="1:45" ht="13.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row>
    <row r="77" spans="1:45" ht="13.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row>
    <row r="78" spans="1:45" ht="13.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row>
    <row r="79" spans="1:45" ht="13.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row>
    <row r="80" spans="1:45" ht="13.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row>
    <row r="81" spans="1:45" ht="13.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row>
    <row r="82" spans="1:45" ht="13.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row>
    <row r="83" spans="1:45" ht="13.5" customHeight="1">
      <c r="A83" s="11" t="s">
        <v>29</v>
      </c>
      <c r="B83" s="11" t="s">
        <v>10</v>
      </c>
      <c r="C83" s="11" t="s">
        <v>26</v>
      </c>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row>
    <row r="84" spans="1:45" ht="13.5" customHeight="1">
      <c r="A84" s="19">
        <v>0</v>
      </c>
      <c r="B84" s="19"/>
      <c r="C84" s="19"/>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row>
    <row r="85" spans="1:45" ht="13.5" customHeight="1">
      <c r="A85" s="19"/>
      <c r="B85" s="20"/>
      <c r="C85" s="20"/>
      <c r="D85" s="11" t="s">
        <v>7</v>
      </c>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row>
    <row r="86" spans="1:45" ht="13.5" customHeight="1">
      <c r="A86" s="19">
        <f>A84+6*C$6</f>
        <v>24</v>
      </c>
      <c r="B86" s="20">
        <f>AL11/A86</f>
        <v>65.85806194501845</v>
      </c>
      <c r="C86" s="20">
        <f>2*AN$1*A86+0.5*AN$2*A86^-0.5</f>
        <v>40.42903097250923</v>
      </c>
      <c r="D86" s="19"/>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row>
    <row r="87" spans="1:45" ht="13.5" customHeight="1">
      <c r="A87" s="19"/>
      <c r="B87" s="20"/>
      <c r="C87" s="20"/>
      <c r="D87" s="20">
        <f>(AL11-AL9)/(A86-A84)</f>
        <v>65.85806194501845</v>
      </c>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row>
    <row r="88" spans="1:45" ht="13.5" customHeight="1">
      <c r="A88" s="19">
        <f>A86+6*C$6</f>
        <v>48</v>
      </c>
      <c r="B88" s="20">
        <f>AL13/A88</f>
        <v>53.03314829119352</v>
      </c>
      <c r="C88" s="20">
        <f>2*AN$1*A88+0.5*AN$2*A88^-0.5</f>
        <v>41.51657414559676</v>
      </c>
      <c r="D88" s="20"/>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row>
    <row r="89" spans="1:45" ht="13.5" customHeight="1">
      <c r="A89" s="19"/>
      <c r="B89" s="20"/>
      <c r="C89" s="20"/>
      <c r="D89" s="20">
        <f>(AL13-AL11)/(A88-A86)</f>
        <v>40.208234637368584</v>
      </c>
      <c r="E89" s="11" t="s">
        <v>47</v>
      </c>
      <c r="F89" s="11" t="s">
        <v>43</v>
      </c>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row>
    <row r="90" spans="1:45" ht="13.5" customHeight="1">
      <c r="A90" s="19">
        <f>A88+6*C$6</f>
        <v>72</v>
      </c>
      <c r="B90" s="20">
        <f>AL15/A90</f>
        <v>50.136418446315325</v>
      </c>
      <c r="C90" s="20">
        <f>2*AN$1*A90+0.5*AN$2*A90^-0.5</f>
        <v>47.568209223157666</v>
      </c>
      <c r="D90" s="20"/>
      <c r="E90" s="20">
        <f>$C$5-0.4*($A84)</f>
        <v>60</v>
      </c>
      <c r="F90" s="19"/>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row>
    <row r="91" spans="1:45" ht="13.5" customHeight="1">
      <c r="A91" s="19"/>
      <c r="B91" s="20"/>
      <c r="C91" s="20"/>
      <c r="D91" s="20">
        <f>(AL15-AL13)/(A90-A88)</f>
        <v>44.342958756558936</v>
      </c>
      <c r="E91" s="20"/>
      <c r="F91" s="20">
        <f>$C$5-0.8*($A84+$A86)/2</f>
        <v>50.4</v>
      </c>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row>
    <row r="92" spans="1:45" ht="13.5" customHeight="1">
      <c r="A92" s="19">
        <f>A90+6*C$6</f>
        <v>96</v>
      </c>
      <c r="B92" s="20">
        <f>AL17/A92</f>
        <v>50.429030972509224</v>
      </c>
      <c r="C92" s="20">
        <f>2*AN$1*A92+0.5*AN$2*A92^-0.5</f>
        <v>55.21451548625461</v>
      </c>
      <c r="D92" s="20"/>
      <c r="E92" s="20">
        <f>$C$5-0.4*($A86)</f>
        <v>50.4</v>
      </c>
      <c r="F92" s="19"/>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row>
    <row r="93" spans="1:45" ht="13.5" customHeight="1">
      <c r="A93" s="19"/>
      <c r="B93" s="20"/>
      <c r="C93" s="20"/>
      <c r="D93" s="20">
        <f>(AL17-AL15)/(A92-A90)</f>
        <v>51.30686855109093</v>
      </c>
      <c r="E93" s="20"/>
      <c r="F93" s="20">
        <f>$C$5-0.8*($A86+$A88)/2</f>
        <v>31.2</v>
      </c>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row>
    <row r="94" spans="1:45" ht="13.5" customHeight="1">
      <c r="A94" s="19">
        <f>A92+6*C$6</f>
        <v>120</v>
      </c>
      <c r="B94" s="20">
        <f>AL19/A94</f>
        <v>52.21655269759086</v>
      </c>
      <c r="C94" s="20">
        <f>2*AN$1*A94+0.5*AN$2*A94^-0.5</f>
        <v>63.60827634879543</v>
      </c>
      <c r="D94" s="20"/>
      <c r="E94" s="20">
        <f>$C$5-0.4*($A88)</f>
        <v>40.8</v>
      </c>
      <c r="F94" s="19"/>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row>
    <row r="95" spans="1:45" ht="13.5" customHeight="1">
      <c r="A95" s="19"/>
      <c r="B95" s="20"/>
      <c r="C95" s="20"/>
      <c r="D95" s="20">
        <f>(AL19-AL17)/(A94-A92)</f>
        <v>59.366639597917434</v>
      </c>
      <c r="E95" s="20"/>
      <c r="F95" s="20">
        <f>$C$5-0.8*($A88+$A90)/2</f>
        <v>12</v>
      </c>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row>
    <row r="96" spans="1:45" ht="13.5" customHeight="1">
      <c r="A96" s="19">
        <f>A94+6*C$6</f>
        <v>144</v>
      </c>
      <c r="B96" s="20">
        <f>AL21/A96</f>
        <v>54.84519974999766</v>
      </c>
      <c r="C96" s="20">
        <f>2*AN$1*A96+0.5*AN$2*A96^-0.5</f>
        <v>72.42259987499884</v>
      </c>
      <c r="D96" s="20"/>
      <c r="E96" s="20">
        <f>$C$5-0.4*($A90)</f>
        <v>31.2</v>
      </c>
      <c r="F96" s="19"/>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row>
    <row r="97" spans="1:45" ht="13.5" customHeight="1">
      <c r="A97" s="19"/>
      <c r="B97" s="20"/>
      <c r="C97" s="20"/>
      <c r="D97" s="20">
        <f>(AL21-AL19)/(A96-A94)</f>
        <v>67.98843501203164</v>
      </c>
      <c r="E97" s="20"/>
      <c r="F97" s="20">
        <f>$C$5-0.8*($A90+$A92)/2</f>
        <v>-7.200000000000003</v>
      </c>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row>
    <row r="98" spans="1:45" ht="13.5" customHeight="1">
      <c r="A98" s="19">
        <f>A96+6*C$6</f>
        <v>168</v>
      </c>
      <c r="B98" s="20">
        <f>AL23/A98</f>
        <v>58.00218531141181</v>
      </c>
      <c r="C98" s="20">
        <f>2*AN$1*A98+0.5*AN$2*A98^-0.5</f>
        <v>81.5010926557059</v>
      </c>
      <c r="D98" s="20"/>
      <c r="E98" s="20">
        <f>$C$5-0.4*($A92)</f>
        <v>21.599999999999994</v>
      </c>
      <c r="F98" s="19"/>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row>
    <row r="99" spans="1:45" ht="13.5" customHeight="1">
      <c r="A99" s="13"/>
      <c r="B99" s="13"/>
      <c r="C99" s="13"/>
      <c r="D99" s="20">
        <f>(AL23-AL21)/(A98-A96)</f>
        <v>76.94409867989668</v>
      </c>
      <c r="E99" s="20"/>
      <c r="F99" s="20">
        <f>$C$5-0.8*($A92+$A94)/2</f>
        <v>-26.400000000000006</v>
      </c>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row>
    <row r="100" spans="1:45" ht="13.5" customHeight="1">
      <c r="A100" s="12" t="s">
        <v>27</v>
      </c>
      <c r="B100" s="12"/>
      <c r="C100" s="12"/>
      <c r="D100" s="20"/>
      <c r="E100" s="20">
        <f>$C$5-0.4*($A94)</f>
        <v>12</v>
      </c>
      <c r="F100" s="19"/>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row>
    <row r="101" spans="1:45" ht="13.5" customHeight="1">
      <c r="A101" s="12" t="s">
        <v>35</v>
      </c>
      <c r="B101" s="12"/>
      <c r="C101" s="12"/>
      <c r="D101" s="13"/>
      <c r="E101" s="20"/>
      <c r="F101" s="20">
        <f>$C$5-0.8*($A94+$A96)/2</f>
        <v>-45.60000000000001</v>
      </c>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row>
    <row r="102" spans="1:45" ht="13.5" customHeight="1">
      <c r="A102" s="22"/>
      <c r="B102" s="22"/>
      <c r="C102" s="22"/>
      <c r="D102" s="12"/>
      <c r="E102" s="20">
        <f>$C$5-0.4*($A96)</f>
        <v>2.3999999999999986</v>
      </c>
      <c r="F102" s="19"/>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row>
    <row r="103" spans="1:45" ht="13.5" customHeight="1">
      <c r="A103" s="22"/>
      <c r="B103" s="22"/>
      <c r="C103" s="22"/>
      <c r="D103" s="12"/>
      <c r="E103" s="20"/>
      <c r="F103" s="20">
        <f>$C$5-0.8*($A96+$A98)/2</f>
        <v>-64.80000000000001</v>
      </c>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row>
    <row r="104" spans="1:45" ht="13.5" customHeight="1">
      <c r="A104" s="22"/>
      <c r="B104" s="22"/>
      <c r="C104" s="22"/>
      <c r="D104" s="22"/>
      <c r="E104" s="20">
        <f>$C$5-0.4*($A98)</f>
        <v>-7.200000000000003</v>
      </c>
      <c r="F104" s="19"/>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row>
    <row r="105" spans="1:45" ht="13.5" customHeight="1">
      <c r="A105" s="22"/>
      <c r="B105" s="22"/>
      <c r="C105" s="22"/>
      <c r="D105" s="22"/>
      <c r="E105" s="13"/>
      <c r="F105" s="13"/>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row>
    <row r="106" spans="1:45" ht="13.5" customHeight="1">
      <c r="A106" s="22"/>
      <c r="B106" s="22"/>
      <c r="C106" s="22"/>
      <c r="D106" s="22"/>
      <c r="E106" s="12"/>
      <c r="F106" s="12"/>
      <c r="G106" s="12"/>
      <c r="H106" s="1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row>
    <row r="107" spans="1:45" ht="13.5" customHeight="1">
      <c r="A107" s="22"/>
      <c r="B107" s="22"/>
      <c r="C107" s="22"/>
      <c r="D107" s="22"/>
      <c r="E107" s="12"/>
      <c r="F107" s="12"/>
      <c r="G107" s="12"/>
      <c r="H107" s="1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row>
    <row r="108" spans="1:45" ht="13.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row>
    <row r="109" spans="1:45" ht="13.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row>
    <row r="110" spans="1:45" ht="13.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row>
    <row r="111" spans="1:45" ht="13.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row>
    <row r="112" spans="1:45" ht="13.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row>
    <row r="113" spans="1:45" ht="13.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row>
    <row r="114" spans="1:45" ht="13.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row>
    <row r="115" spans="1:45" ht="13.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row>
    <row r="116" spans="1:45" ht="13.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row>
    <row r="117" spans="1:45" ht="13.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row>
    <row r="118" spans="1:45" ht="13.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row>
    <row r="119" spans="1:45" ht="13.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row>
    <row r="120" spans="1:45" ht="13.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row>
    <row r="121" spans="1:45" ht="13.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row>
    <row r="122" spans="1:45" ht="13.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row>
    <row r="123" spans="1:45" ht="13.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row>
    <row r="124" spans="1:45" ht="13.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row>
    <row r="125" spans="1:45" ht="13.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row>
    <row r="126" spans="1:45" ht="13.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row>
    <row r="127" spans="1:45" ht="13.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row>
    <row r="128" spans="1:45" ht="13.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row>
    <row r="129" spans="1:45" ht="13.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row>
    <row r="130" spans="1:45" ht="13.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13.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13.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row>
    <row r="133" spans="1:45" ht="13.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row>
    <row r="134" spans="1:45" ht="13.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row>
    <row r="135" spans="1:45" ht="13.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row>
    <row r="136" spans="1:45" ht="13.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row>
    <row r="137" spans="1:45" ht="13.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row>
    <row r="138" spans="1:45" ht="13.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row>
    <row r="139" spans="1:45" ht="13.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row>
    <row r="140" spans="1:45" ht="13.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row>
    <row r="141" spans="1:45" ht="13.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row>
    <row r="142" spans="1:45" ht="13.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row>
    <row r="143" spans="1:45" ht="13.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row>
    <row r="144" spans="1:45" ht="13.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row>
    <row r="145" spans="4:45" ht="13.5" customHeight="1">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row>
    <row r="146" spans="4:45" ht="13.5" customHeight="1">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row>
    <row r="147" spans="5:45" ht="13.5" customHeight="1">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row>
    <row r="148" spans="5:45" ht="13.5" customHeight="1">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row>
    <row r="149" spans="5:45" ht="13.5" customHeight="1">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row>
    <row r="150" spans="5:45" ht="13.5" customHeight="1">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row>
  </sheetData>
  <mergeCells count="8">
    <mergeCell ref="A12:B12"/>
    <mergeCell ref="A3:B3"/>
    <mergeCell ref="A4:B4"/>
    <mergeCell ref="A5:B5"/>
    <mergeCell ref="A10:B10"/>
    <mergeCell ref="A11:B11"/>
    <mergeCell ref="A6:B6"/>
    <mergeCell ref="A1:F1"/>
  </mergeCells>
  <printOptions/>
  <pageMargins left="0.25" right="0" top="1" bottom="1" header="0.5" footer="0.5"/>
  <pageSetup horizontalDpi="600" verticalDpi="600" orientation="landscape" r:id="rId3"/>
  <drawing r:id="rId2"/>
  <legacyDrawing r:id="rId1"/>
</worksheet>
</file>

<file path=xl/worksheets/sheet7.xml><?xml version="1.0" encoding="utf-8"?>
<worksheet xmlns="http://schemas.openxmlformats.org/spreadsheetml/2006/main" xmlns:r="http://schemas.openxmlformats.org/officeDocument/2006/relationships">
  <sheetPr codeName="Sheet61"/>
  <dimension ref="A1:BD150"/>
  <sheetViews>
    <sheetView workbookViewId="0" topLeftCell="A1">
      <selection activeCell="A1" sqref="A1:F1"/>
    </sheetView>
  </sheetViews>
  <sheetFormatPr defaultColWidth="9.140625" defaultRowHeight="15"/>
  <cols>
    <col min="1" max="1" width="13.28125" style="0" customWidth="1"/>
    <col min="3" max="3" width="10.140625" style="0" bestFit="1" customWidth="1"/>
    <col min="13" max="13" width="1.8515625" style="0" customWidth="1"/>
    <col min="37" max="37" width="11.57421875" style="0" bestFit="1" customWidth="1"/>
  </cols>
  <sheetData>
    <row r="1" spans="1:56" s="2" customFormat="1" ht="18" customHeight="1">
      <c r="A1" s="84" t="s">
        <v>88</v>
      </c>
      <c r="B1" s="84"/>
      <c r="C1" s="84"/>
      <c r="D1" s="84"/>
      <c r="E1" s="84"/>
      <c r="F1" s="84"/>
      <c r="G1" s="38"/>
      <c r="H1" s="38"/>
      <c r="I1" s="38"/>
      <c r="J1" s="36"/>
      <c r="K1" s="36"/>
      <c r="L1" s="36"/>
      <c r="M1" s="36"/>
      <c r="N1" s="36"/>
      <c r="O1" s="36"/>
      <c r="P1" s="36"/>
      <c r="Q1" s="36"/>
      <c r="R1" s="36"/>
      <c r="S1" s="36"/>
      <c r="T1" s="36"/>
      <c r="U1" s="36"/>
      <c r="V1" s="36"/>
      <c r="W1" s="36"/>
      <c r="X1" s="36"/>
      <c r="Y1" s="36"/>
      <c r="Z1" s="36"/>
      <c r="AA1" s="65" t="s">
        <v>29</v>
      </c>
      <c r="AB1" s="66" t="s">
        <v>5</v>
      </c>
      <c r="AC1" s="66" t="s">
        <v>6</v>
      </c>
      <c r="AD1" s="66" t="s">
        <v>7</v>
      </c>
      <c r="AE1" s="66" t="s">
        <v>8</v>
      </c>
      <c r="AF1" s="66" t="s">
        <v>9</v>
      </c>
      <c r="AG1" s="66" t="s">
        <v>10</v>
      </c>
      <c r="AH1" s="66" t="s">
        <v>47</v>
      </c>
      <c r="AI1" s="66" t="s">
        <v>40</v>
      </c>
      <c r="AJ1" s="66" t="s">
        <v>48</v>
      </c>
      <c r="AK1" s="66" t="s">
        <v>49</v>
      </c>
      <c r="AL1" s="66" t="s">
        <v>50</v>
      </c>
      <c r="AM1" s="66" t="s">
        <v>39</v>
      </c>
      <c r="AN1" s="66" t="s">
        <v>48</v>
      </c>
      <c r="AO1" s="66" t="s">
        <v>49</v>
      </c>
      <c r="AP1" s="66" t="s">
        <v>50</v>
      </c>
      <c r="AQ1" s="66" t="s">
        <v>51</v>
      </c>
      <c r="AR1" s="66" t="s">
        <v>52</v>
      </c>
      <c r="AS1" s="67" t="s">
        <v>53</v>
      </c>
      <c r="AT1" s="36"/>
      <c r="AU1" s="24" t="s">
        <v>13</v>
      </c>
      <c r="AV1" s="24">
        <f>C4/(3*C3)</f>
        <v>0.20833333333333334</v>
      </c>
      <c r="AW1" s="81" t="s">
        <v>65</v>
      </c>
      <c r="AX1" s="81"/>
      <c r="AY1" s="25"/>
      <c r="AZ1" s="25"/>
      <c r="BA1" s="25"/>
      <c r="BB1" s="25"/>
      <c r="BC1" s="25"/>
      <c r="BD1" s="25"/>
    </row>
    <row r="2" spans="1:56" s="2" customFormat="1" ht="13.5" customHeight="1">
      <c r="A2" s="36"/>
      <c r="B2" s="36"/>
      <c r="C2" s="36"/>
      <c r="D2" s="36"/>
      <c r="E2" s="36"/>
      <c r="F2" s="38"/>
      <c r="G2" s="38"/>
      <c r="H2" s="38"/>
      <c r="I2" s="38"/>
      <c r="J2" s="36"/>
      <c r="K2" s="36"/>
      <c r="L2" s="36"/>
      <c r="M2" s="36"/>
      <c r="N2" s="36"/>
      <c r="O2" s="36"/>
      <c r="P2" s="36"/>
      <c r="Q2" s="36"/>
      <c r="R2" s="36"/>
      <c r="S2" s="36"/>
      <c r="T2" s="36"/>
      <c r="U2" s="36"/>
      <c r="V2" s="36"/>
      <c r="W2" s="36"/>
      <c r="X2" s="36"/>
      <c r="Y2" s="36"/>
      <c r="Z2" s="36"/>
      <c r="AA2" s="39">
        <v>0</v>
      </c>
      <c r="AB2" s="40">
        <f aca="true" t="shared" si="0" ref="AB2:AB33">AV$1*AA2^2+AV$2*AA2^0.5</f>
        <v>0</v>
      </c>
      <c r="AC2" s="40">
        <f aca="true" t="shared" si="1" ref="AC2:AC33">AV$6*AA2^3+AV$7</f>
        <v>3178.9644194442108</v>
      </c>
      <c r="AD2" s="40"/>
      <c r="AE2" s="40">
        <f aca="true" t="shared" si="2" ref="AE2:AE33">3*AV$6*AA2^2</f>
        <v>0</v>
      </c>
      <c r="AF2" s="40"/>
      <c r="AG2" s="40"/>
      <c r="AH2" s="48">
        <f aca="true" t="shared" si="3" ref="AH2:AH33">$C$6-0</f>
        <v>60</v>
      </c>
      <c r="AI2" s="48">
        <f aca="true" t="shared" si="4" ref="AI2:AI33">$C$6</f>
        <v>60</v>
      </c>
      <c r="AJ2" s="40"/>
      <c r="AK2" s="40"/>
      <c r="AL2" s="40"/>
      <c r="AM2" s="40">
        <f aca="true" t="shared" si="5" ref="AM2:AM33">IF(AA2&lt;=C$15,C$16,-100000)</f>
        <v>51.188765527462344</v>
      </c>
      <c r="AN2" s="40"/>
      <c r="AO2" s="40"/>
      <c r="AP2" s="40"/>
      <c r="AQ2" s="40">
        <f aca="true" t="shared" si="6" ref="AQ2:AQ33">IF(AA2&lt;=C$11,C$12,-100000)</f>
        <v>50.96370140372067</v>
      </c>
      <c r="AR2" s="40">
        <f aca="true" t="shared" si="7" ref="AR2:AR33">IF(AM2&gt;0,C$18,-100000)</f>
        <v>16.799999999999997</v>
      </c>
      <c r="AS2" s="41">
        <f aca="true" t="shared" si="8" ref="AS2:AS33">IF(AQ2&gt;0,C$6,-100000)</f>
        <v>60</v>
      </c>
      <c r="AT2" s="36"/>
      <c r="AU2" s="24" t="s">
        <v>15</v>
      </c>
      <c r="AV2" s="24">
        <f>(C4-AV1*C3)*C3^0.5</f>
        <v>298.14239699997194</v>
      </c>
      <c r="AW2" s="24"/>
      <c r="AX2" s="24"/>
      <c r="AY2" s="25"/>
      <c r="AZ2" s="25"/>
      <c r="BA2" s="25"/>
      <c r="BB2" s="25"/>
      <c r="BC2" s="25"/>
      <c r="BD2" s="25"/>
    </row>
    <row r="3" spans="1:56" s="2" customFormat="1" ht="13.5" customHeight="1">
      <c r="A3" s="83" t="s">
        <v>67</v>
      </c>
      <c r="B3" s="83"/>
      <c r="C3" s="60">
        <v>80</v>
      </c>
      <c r="D3" s="43"/>
      <c r="E3" s="43"/>
      <c r="F3" s="38"/>
      <c r="G3" s="38"/>
      <c r="H3" s="38"/>
      <c r="I3" s="38"/>
      <c r="J3" s="36"/>
      <c r="K3" s="36"/>
      <c r="L3" s="36"/>
      <c r="M3" s="36"/>
      <c r="N3" s="36"/>
      <c r="O3" s="36"/>
      <c r="P3" s="36"/>
      <c r="Q3" s="36"/>
      <c r="R3" s="36"/>
      <c r="S3" s="36"/>
      <c r="T3" s="36"/>
      <c r="U3" s="36"/>
      <c r="V3" s="36"/>
      <c r="W3" s="36"/>
      <c r="X3" s="36"/>
      <c r="Y3" s="36"/>
      <c r="Z3" s="36"/>
      <c r="AA3" s="39">
        <f aca="true" t="shared" si="9" ref="AA3:AA34">AA2+$C$7</f>
        <v>4</v>
      </c>
      <c r="AB3" s="40">
        <f t="shared" si="0"/>
        <v>599.6181273332772</v>
      </c>
      <c r="AC3" s="40">
        <f t="shared" si="1"/>
        <v>3179.0851101887797</v>
      </c>
      <c r="AD3" s="40">
        <f aca="true" t="shared" si="10" ref="AD3:AD34">2*AV$1*AA3+0.5*AV$2*AA3^-0.5</f>
        <v>76.20226591665966</v>
      </c>
      <c r="AE3" s="40">
        <f t="shared" si="2"/>
        <v>0.09051805842666442</v>
      </c>
      <c r="AF3" s="40">
        <f aca="true" t="shared" si="11" ref="AF3:AF34">AV$6*AA3^2+AV$7/AA3</f>
        <v>794.7712775471949</v>
      </c>
      <c r="AG3" s="40">
        <f aca="true" t="shared" si="12" ref="AG3:AG34">AV$1*AA3+AV$2*AA3^-0.5</f>
        <v>149.9045318333193</v>
      </c>
      <c r="AH3" s="48">
        <f t="shared" si="3"/>
        <v>60</v>
      </c>
      <c r="AI3" s="48">
        <f t="shared" si="4"/>
        <v>60</v>
      </c>
      <c r="AJ3" s="40">
        <f aca="true" t="shared" si="13" ref="AJ3:AJ34">(AH3-AG3)*AA3</f>
        <v>-359.61812733327724</v>
      </c>
      <c r="AK3" s="40">
        <f aca="true" t="shared" si="14" ref="AK3:AK34">IF(AJ3=AJ$56,-10000,AA3)</f>
        <v>4</v>
      </c>
      <c r="AL3" s="40">
        <f aca="true" t="shared" si="15" ref="AL3:AL34">IF(AK3&gt;0,-100000,AA3)</f>
        <v>-100000</v>
      </c>
      <c r="AM3" s="40">
        <f t="shared" si="5"/>
        <v>51.188765527462344</v>
      </c>
      <c r="AN3" s="40">
        <f aca="true" t="shared" si="16" ref="AN3:AN34">(AH3-AF3)*AA3</f>
        <v>-2939.0851101887797</v>
      </c>
      <c r="AO3" s="40">
        <f aca="true" t="shared" si="17" ref="AO3:AO34">IF(AN3=AN$56,-10000,AA3)</f>
        <v>4</v>
      </c>
      <c r="AP3" s="40">
        <f aca="true" t="shared" si="18" ref="AP3:AP34">IF(AO3&gt;0,-100000,AA3)</f>
        <v>-100000</v>
      </c>
      <c r="AQ3" s="40">
        <f t="shared" si="6"/>
        <v>50.96370140372067</v>
      </c>
      <c r="AR3" s="40">
        <f t="shared" si="7"/>
        <v>16.799999999999997</v>
      </c>
      <c r="AS3" s="41">
        <f t="shared" si="8"/>
        <v>60</v>
      </c>
      <c r="AT3" s="36"/>
      <c r="AU3" s="24"/>
      <c r="AV3" s="24"/>
      <c r="AW3" s="24"/>
      <c r="AX3" s="24"/>
      <c r="AY3" s="25"/>
      <c r="AZ3" s="25"/>
      <c r="BA3" s="25"/>
      <c r="BB3" s="25"/>
      <c r="BC3" s="25"/>
      <c r="BD3" s="25"/>
    </row>
    <row r="4" spans="1:56" s="2" customFormat="1" ht="13.5" customHeight="1">
      <c r="A4" s="83" t="s">
        <v>68</v>
      </c>
      <c r="B4" s="83"/>
      <c r="C4" s="61">
        <v>50</v>
      </c>
      <c r="D4" s="43">
        <v>80</v>
      </c>
      <c r="E4" s="43"/>
      <c r="F4" s="38"/>
      <c r="G4" s="38"/>
      <c r="H4" s="38"/>
      <c r="I4" s="38"/>
      <c r="J4" s="36"/>
      <c r="K4" s="36"/>
      <c r="L4" s="36"/>
      <c r="M4" s="36"/>
      <c r="N4" s="36"/>
      <c r="O4" s="36"/>
      <c r="P4" s="36"/>
      <c r="Q4" s="36"/>
      <c r="R4" s="36"/>
      <c r="S4" s="36"/>
      <c r="T4" s="36"/>
      <c r="U4" s="36"/>
      <c r="V4" s="36"/>
      <c r="W4" s="36"/>
      <c r="X4" s="36"/>
      <c r="Y4" s="36"/>
      <c r="Z4" s="36"/>
      <c r="AA4" s="39">
        <f t="shared" si="9"/>
        <v>8</v>
      </c>
      <c r="AB4" s="40">
        <f t="shared" si="0"/>
        <v>856.6073760449012</v>
      </c>
      <c r="AC4" s="40">
        <f t="shared" si="1"/>
        <v>3179.929945400762</v>
      </c>
      <c r="AD4" s="40">
        <f t="shared" si="10"/>
        <v>56.03796100280631</v>
      </c>
      <c r="AE4" s="40">
        <f t="shared" si="2"/>
        <v>0.3620722337066577</v>
      </c>
      <c r="AF4" s="40">
        <f t="shared" si="11"/>
        <v>397.49124317509524</v>
      </c>
      <c r="AG4" s="40">
        <f t="shared" si="12"/>
        <v>107.07592200561263</v>
      </c>
      <c r="AH4" s="48">
        <f t="shared" si="3"/>
        <v>60</v>
      </c>
      <c r="AI4" s="48">
        <f t="shared" si="4"/>
        <v>60</v>
      </c>
      <c r="AJ4" s="40">
        <f t="shared" si="13"/>
        <v>-376.607376044901</v>
      </c>
      <c r="AK4" s="40">
        <f t="shared" si="14"/>
        <v>8</v>
      </c>
      <c r="AL4" s="40">
        <f t="shared" si="15"/>
        <v>-100000</v>
      </c>
      <c r="AM4" s="40">
        <f t="shared" si="5"/>
        <v>51.188765527462344</v>
      </c>
      <c r="AN4" s="40">
        <f t="shared" si="16"/>
        <v>-2699.929945400762</v>
      </c>
      <c r="AO4" s="40">
        <f t="shared" si="17"/>
        <v>8</v>
      </c>
      <c r="AP4" s="40">
        <f t="shared" si="18"/>
        <v>-100000</v>
      </c>
      <c r="AQ4" s="40">
        <f t="shared" si="6"/>
        <v>50.96370140372067</v>
      </c>
      <c r="AR4" s="40">
        <f t="shared" si="7"/>
        <v>16.799999999999997</v>
      </c>
      <c r="AS4" s="41">
        <f t="shared" si="8"/>
        <v>60</v>
      </c>
      <c r="AT4" s="36"/>
      <c r="AU4" s="82" t="s">
        <v>54</v>
      </c>
      <c r="AV4" s="82"/>
      <c r="AW4" s="82"/>
      <c r="AX4" s="82"/>
      <c r="AY4" s="25"/>
      <c r="AZ4" s="25"/>
      <c r="BA4" s="25"/>
      <c r="BB4" s="25"/>
      <c r="BC4" s="25"/>
      <c r="BD4" s="25"/>
    </row>
    <row r="5" spans="1:56" s="2" customFormat="1" ht="13.5" customHeight="1">
      <c r="A5" s="74" t="s">
        <v>70</v>
      </c>
      <c r="B5" s="74"/>
      <c r="C5" s="60">
        <v>100</v>
      </c>
      <c r="D5" s="49">
        <v>50</v>
      </c>
      <c r="E5" s="49"/>
      <c r="F5" s="38"/>
      <c r="G5" s="38"/>
      <c r="H5" s="38"/>
      <c r="I5" s="38"/>
      <c r="J5" s="36"/>
      <c r="K5" s="36"/>
      <c r="L5" s="36"/>
      <c r="M5" s="36"/>
      <c r="N5" s="36"/>
      <c r="O5" s="36"/>
      <c r="P5" s="36"/>
      <c r="Q5" s="36"/>
      <c r="R5" s="36"/>
      <c r="S5" s="36"/>
      <c r="T5" s="36"/>
      <c r="U5" s="36"/>
      <c r="V5" s="36"/>
      <c r="W5" s="36"/>
      <c r="X5" s="36"/>
      <c r="Y5" s="36"/>
      <c r="Z5" s="36"/>
      <c r="AA5" s="39">
        <f t="shared" si="9"/>
        <v>12</v>
      </c>
      <c r="AB5" s="40">
        <f t="shared" si="0"/>
        <v>1062.7955589886444</v>
      </c>
      <c r="AC5" s="40">
        <f t="shared" si="1"/>
        <v>3182.2230695475705</v>
      </c>
      <c r="AD5" s="40">
        <f t="shared" si="10"/>
        <v>48.03314829119353</v>
      </c>
      <c r="AE5" s="40">
        <f t="shared" si="2"/>
        <v>0.8146625258399798</v>
      </c>
      <c r="AF5" s="40">
        <f t="shared" si="11"/>
        <v>265.1852557956309</v>
      </c>
      <c r="AG5" s="40">
        <f t="shared" si="12"/>
        <v>88.56629658238705</v>
      </c>
      <c r="AH5" s="48">
        <f t="shared" si="3"/>
        <v>60</v>
      </c>
      <c r="AI5" s="48">
        <f t="shared" si="4"/>
        <v>60</v>
      </c>
      <c r="AJ5" s="40">
        <f t="shared" si="13"/>
        <v>-342.79555898864464</v>
      </c>
      <c r="AK5" s="40">
        <f t="shared" si="14"/>
        <v>12</v>
      </c>
      <c r="AL5" s="40">
        <f t="shared" si="15"/>
        <v>-100000</v>
      </c>
      <c r="AM5" s="40">
        <f t="shared" si="5"/>
        <v>51.188765527462344</v>
      </c>
      <c r="AN5" s="40">
        <f t="shared" si="16"/>
        <v>-2462.223069547571</v>
      </c>
      <c r="AO5" s="40">
        <f t="shared" si="17"/>
        <v>12</v>
      </c>
      <c r="AP5" s="40">
        <f t="shared" si="18"/>
        <v>-100000</v>
      </c>
      <c r="AQ5" s="40">
        <f t="shared" si="6"/>
        <v>50.96370140372067</v>
      </c>
      <c r="AR5" s="40">
        <f t="shared" si="7"/>
        <v>16.799999999999997</v>
      </c>
      <c r="AS5" s="41">
        <f t="shared" si="8"/>
        <v>60</v>
      </c>
      <c r="AT5" s="36"/>
      <c r="AU5" s="24" t="s">
        <v>19</v>
      </c>
      <c r="AV5" s="24">
        <f>2*AV1*C5+0.5*AV2*C5^-0.5</f>
        <v>56.573786516665265</v>
      </c>
      <c r="AW5" s="81" t="s">
        <v>20</v>
      </c>
      <c r="AX5" s="81"/>
      <c r="AY5" s="25"/>
      <c r="AZ5" s="25"/>
      <c r="BA5" s="25"/>
      <c r="BB5" s="25"/>
      <c r="BC5" s="25"/>
      <c r="BD5" s="25"/>
    </row>
    <row r="6" spans="1:56" s="2" customFormat="1" ht="13.5" customHeight="1">
      <c r="A6" s="74" t="s">
        <v>72</v>
      </c>
      <c r="B6" s="74"/>
      <c r="C6" s="61">
        <v>60</v>
      </c>
      <c r="D6" s="49">
        <v>100</v>
      </c>
      <c r="E6" s="49"/>
      <c r="F6" s="38"/>
      <c r="G6" s="38"/>
      <c r="H6" s="38"/>
      <c r="I6" s="38"/>
      <c r="J6" s="36"/>
      <c r="K6" s="36"/>
      <c r="L6" s="36"/>
      <c r="M6" s="36"/>
      <c r="N6" s="36"/>
      <c r="O6" s="36"/>
      <c r="P6" s="36"/>
      <c r="Q6" s="36"/>
      <c r="R6" s="36"/>
      <c r="S6" s="36"/>
      <c r="T6" s="36"/>
      <c r="U6" s="36"/>
      <c r="V6" s="36"/>
      <c r="W6" s="36"/>
      <c r="X6" s="36"/>
      <c r="Y6" s="36"/>
      <c r="Z6" s="36"/>
      <c r="AA6" s="39">
        <f t="shared" si="9"/>
        <v>16</v>
      </c>
      <c r="AB6" s="40">
        <f t="shared" si="0"/>
        <v>1245.902921333221</v>
      </c>
      <c r="AC6" s="40">
        <f t="shared" si="1"/>
        <v>3186.6886270966193</v>
      </c>
      <c r="AD6" s="40">
        <f t="shared" si="10"/>
        <v>43.934466291663156</v>
      </c>
      <c r="AE6" s="40">
        <f t="shared" si="2"/>
        <v>1.4482889348266308</v>
      </c>
      <c r="AF6" s="40">
        <f t="shared" si="11"/>
        <v>199.1680391935387</v>
      </c>
      <c r="AG6" s="40">
        <f t="shared" si="12"/>
        <v>77.86893258332631</v>
      </c>
      <c r="AH6" s="48">
        <f t="shared" si="3"/>
        <v>60</v>
      </c>
      <c r="AI6" s="48">
        <f t="shared" si="4"/>
        <v>60</v>
      </c>
      <c r="AJ6" s="40">
        <f t="shared" si="13"/>
        <v>-285.902921333221</v>
      </c>
      <c r="AK6" s="40">
        <f t="shared" si="14"/>
        <v>16</v>
      </c>
      <c r="AL6" s="40">
        <f t="shared" si="15"/>
        <v>-100000</v>
      </c>
      <c r="AM6" s="40">
        <f t="shared" si="5"/>
        <v>51.188765527462344</v>
      </c>
      <c r="AN6" s="40">
        <f t="shared" si="16"/>
        <v>-2226.6886270966193</v>
      </c>
      <c r="AO6" s="40">
        <f t="shared" si="17"/>
        <v>16</v>
      </c>
      <c r="AP6" s="40">
        <f t="shared" si="18"/>
        <v>-100000</v>
      </c>
      <c r="AQ6" s="40">
        <f t="shared" si="6"/>
        <v>50.96370140372067</v>
      </c>
      <c r="AR6" s="40">
        <f t="shared" si="7"/>
        <v>16.799999999999997</v>
      </c>
      <c r="AS6" s="41">
        <f t="shared" si="8"/>
        <v>60</v>
      </c>
      <c r="AT6" s="36"/>
      <c r="AU6" s="24" t="s">
        <v>21</v>
      </c>
      <c r="AV6" s="24">
        <f>AV5/(3*C5^2)</f>
        <v>0.0018857928838888422</v>
      </c>
      <c r="AW6" s="81" t="s">
        <v>64</v>
      </c>
      <c r="AX6" s="81"/>
      <c r="AY6" s="25"/>
      <c r="AZ6" s="25"/>
      <c r="BA6" s="25"/>
      <c r="BB6" s="25"/>
      <c r="BC6" s="25"/>
      <c r="BD6" s="25"/>
    </row>
    <row r="7" spans="1:56" s="2" customFormat="1" ht="13.5" customHeight="1">
      <c r="A7" s="74" t="s">
        <v>24</v>
      </c>
      <c r="B7" s="74"/>
      <c r="C7" s="60">
        <v>4</v>
      </c>
      <c r="D7" s="43">
        <v>60</v>
      </c>
      <c r="E7" s="43"/>
      <c r="F7" s="38"/>
      <c r="G7" s="38"/>
      <c r="H7" s="38"/>
      <c r="I7" s="38"/>
      <c r="J7" s="36"/>
      <c r="K7" s="36"/>
      <c r="L7" s="36"/>
      <c r="M7" s="36"/>
      <c r="N7" s="36"/>
      <c r="O7" s="36"/>
      <c r="P7" s="36"/>
      <c r="Q7" s="36"/>
      <c r="R7" s="36"/>
      <c r="S7" s="36"/>
      <c r="T7" s="36"/>
      <c r="U7" s="36"/>
      <c r="V7" s="36"/>
      <c r="W7" s="36"/>
      <c r="X7" s="36"/>
      <c r="Y7" s="36"/>
      <c r="Z7" s="36"/>
      <c r="AA7" s="39">
        <f t="shared" si="9"/>
        <v>20</v>
      </c>
      <c r="AB7" s="40">
        <f t="shared" si="0"/>
        <v>1416.6666666666665</v>
      </c>
      <c r="AC7" s="40">
        <f t="shared" si="1"/>
        <v>3194.0507625153214</v>
      </c>
      <c r="AD7" s="40">
        <f t="shared" si="10"/>
        <v>41.666666666666664</v>
      </c>
      <c r="AE7" s="40">
        <f t="shared" si="2"/>
        <v>2.262951460666611</v>
      </c>
      <c r="AF7" s="40">
        <f t="shared" si="11"/>
        <v>159.7025381257661</v>
      </c>
      <c r="AG7" s="40">
        <f t="shared" si="12"/>
        <v>70.83333333333333</v>
      </c>
      <c r="AH7" s="48">
        <f t="shared" si="3"/>
        <v>60</v>
      </c>
      <c r="AI7" s="48">
        <f t="shared" si="4"/>
        <v>60</v>
      </c>
      <c r="AJ7" s="40">
        <f t="shared" si="13"/>
        <v>-216.66666666666657</v>
      </c>
      <c r="AK7" s="40">
        <f t="shared" si="14"/>
        <v>20</v>
      </c>
      <c r="AL7" s="40">
        <f t="shared" si="15"/>
        <v>-100000</v>
      </c>
      <c r="AM7" s="40">
        <f t="shared" si="5"/>
        <v>51.188765527462344</v>
      </c>
      <c r="AN7" s="40">
        <f t="shared" si="16"/>
        <v>-1994.0507625153218</v>
      </c>
      <c r="AO7" s="40">
        <f t="shared" si="17"/>
        <v>20</v>
      </c>
      <c r="AP7" s="40">
        <f t="shared" si="18"/>
        <v>-100000</v>
      </c>
      <c r="AQ7" s="40">
        <f t="shared" si="6"/>
        <v>50.96370140372067</v>
      </c>
      <c r="AR7" s="40">
        <f t="shared" si="7"/>
        <v>16.799999999999997</v>
      </c>
      <c r="AS7" s="41">
        <f t="shared" si="8"/>
        <v>60</v>
      </c>
      <c r="AT7" s="36"/>
      <c r="AU7" s="24" t="s">
        <v>22</v>
      </c>
      <c r="AV7" s="24">
        <f>C5*C10-AV6*C5^3</f>
        <v>3178.9644194442108</v>
      </c>
      <c r="AW7" s="24"/>
      <c r="AX7" s="24"/>
      <c r="AY7" s="25"/>
      <c r="AZ7" s="25"/>
      <c r="BA7" s="25"/>
      <c r="BB7" s="25"/>
      <c r="BC7" s="25"/>
      <c r="BD7" s="25"/>
    </row>
    <row r="8" spans="1:56" s="2" customFormat="1" ht="13.5" customHeight="1">
      <c r="A8" s="36"/>
      <c r="B8" s="36"/>
      <c r="C8" s="36"/>
      <c r="D8" s="43"/>
      <c r="E8" s="43"/>
      <c r="F8" s="38"/>
      <c r="G8" s="38"/>
      <c r="H8" s="38"/>
      <c r="I8" s="38"/>
      <c r="J8" s="36"/>
      <c r="K8" s="36"/>
      <c r="L8" s="36"/>
      <c r="M8" s="36"/>
      <c r="N8" s="36"/>
      <c r="O8" s="36"/>
      <c r="P8" s="36"/>
      <c r="Q8" s="36"/>
      <c r="R8" s="36"/>
      <c r="S8" s="36"/>
      <c r="T8" s="36"/>
      <c r="U8" s="36"/>
      <c r="V8" s="36"/>
      <c r="W8" s="36"/>
      <c r="X8" s="36"/>
      <c r="Y8" s="36"/>
      <c r="Z8" s="36"/>
      <c r="AA8" s="39">
        <f t="shared" si="9"/>
        <v>24</v>
      </c>
      <c r="AB8" s="40">
        <f t="shared" si="0"/>
        <v>1580.5934866804428</v>
      </c>
      <c r="AC8" s="40">
        <f t="shared" si="1"/>
        <v>3205.03362027109</v>
      </c>
      <c r="AD8" s="40">
        <f t="shared" si="10"/>
        <v>40.42903097250923</v>
      </c>
      <c r="AE8" s="40">
        <f t="shared" si="2"/>
        <v>3.258650103359919</v>
      </c>
      <c r="AF8" s="40">
        <f t="shared" si="11"/>
        <v>133.54306751129542</v>
      </c>
      <c r="AG8" s="40">
        <f t="shared" si="12"/>
        <v>65.85806194501846</v>
      </c>
      <c r="AH8" s="48">
        <f t="shared" si="3"/>
        <v>60</v>
      </c>
      <c r="AI8" s="48">
        <f t="shared" si="4"/>
        <v>60</v>
      </c>
      <c r="AJ8" s="40">
        <f t="shared" si="13"/>
        <v>-140.5934866804431</v>
      </c>
      <c r="AK8" s="40">
        <f t="shared" si="14"/>
        <v>24</v>
      </c>
      <c r="AL8" s="40">
        <f t="shared" si="15"/>
        <v>-100000</v>
      </c>
      <c r="AM8" s="40">
        <f t="shared" si="5"/>
        <v>51.188765527462344</v>
      </c>
      <c r="AN8" s="40">
        <f t="shared" si="16"/>
        <v>-1765.03362027109</v>
      </c>
      <c r="AO8" s="40">
        <f t="shared" si="17"/>
        <v>24</v>
      </c>
      <c r="AP8" s="40">
        <f t="shared" si="18"/>
        <v>-100000</v>
      </c>
      <c r="AQ8" s="40">
        <f t="shared" si="6"/>
        <v>50.96370140372067</v>
      </c>
      <c r="AR8" s="40">
        <f t="shared" si="7"/>
        <v>16.799999999999997</v>
      </c>
      <c r="AS8" s="41">
        <f t="shared" si="8"/>
        <v>60</v>
      </c>
      <c r="AT8" s="36"/>
      <c r="AU8" s="24"/>
      <c r="AV8" s="24"/>
      <c r="AW8" s="24"/>
      <c r="AX8" s="24"/>
      <c r="AY8" s="25"/>
      <c r="AZ8" s="25"/>
      <c r="BA8" s="25"/>
      <c r="BB8" s="25"/>
      <c r="BC8" s="25"/>
      <c r="BD8" s="25"/>
    </row>
    <row r="9" spans="1:56" s="2" customFormat="1" ht="13.5" customHeight="1">
      <c r="A9" s="36"/>
      <c r="B9" s="36"/>
      <c r="C9" s="36"/>
      <c r="D9" s="50"/>
      <c r="E9" s="50"/>
      <c r="F9" s="38"/>
      <c r="G9" s="38"/>
      <c r="H9" s="38"/>
      <c r="I9" s="38"/>
      <c r="J9" s="36"/>
      <c r="K9" s="36"/>
      <c r="L9" s="36"/>
      <c r="M9" s="36"/>
      <c r="N9" s="36"/>
      <c r="O9" s="36"/>
      <c r="P9" s="36"/>
      <c r="Q9" s="36"/>
      <c r="R9" s="36"/>
      <c r="S9" s="36"/>
      <c r="T9" s="36"/>
      <c r="U9" s="36"/>
      <c r="V9" s="36"/>
      <c r="W9" s="36"/>
      <c r="X9" s="36"/>
      <c r="Y9" s="36"/>
      <c r="Z9" s="36"/>
      <c r="AA9" s="39">
        <f t="shared" si="9"/>
        <v>28</v>
      </c>
      <c r="AB9" s="40">
        <f t="shared" si="0"/>
        <v>1740.9546088265643</v>
      </c>
      <c r="AC9" s="40">
        <f t="shared" si="1"/>
        <v>3220.3613448313386</v>
      </c>
      <c r="AD9" s="40">
        <f t="shared" si="10"/>
        <v>39.83847515761721</v>
      </c>
      <c r="AE9" s="40">
        <f t="shared" si="2"/>
        <v>4.435384862906557</v>
      </c>
      <c r="AF9" s="40">
        <f t="shared" si="11"/>
        <v>115.01290517254782</v>
      </c>
      <c r="AG9" s="40">
        <f t="shared" si="12"/>
        <v>62.17695031523443</v>
      </c>
      <c r="AH9" s="48">
        <f t="shared" si="3"/>
        <v>60</v>
      </c>
      <c r="AI9" s="48">
        <f t="shared" si="4"/>
        <v>60</v>
      </c>
      <c r="AJ9" s="40">
        <f t="shared" si="13"/>
        <v>-60.954608826564</v>
      </c>
      <c r="AK9" s="40">
        <f t="shared" si="14"/>
        <v>28</v>
      </c>
      <c r="AL9" s="40">
        <f t="shared" si="15"/>
        <v>-100000</v>
      </c>
      <c r="AM9" s="40">
        <f t="shared" si="5"/>
        <v>51.188765527462344</v>
      </c>
      <c r="AN9" s="40">
        <f t="shared" si="16"/>
        <v>-1540.361344831339</v>
      </c>
      <c r="AO9" s="40">
        <f t="shared" si="17"/>
        <v>28</v>
      </c>
      <c r="AP9" s="40">
        <f t="shared" si="18"/>
        <v>-100000</v>
      </c>
      <c r="AQ9" s="40">
        <f t="shared" si="6"/>
        <v>50.96370140372067</v>
      </c>
      <c r="AR9" s="40">
        <f t="shared" si="7"/>
        <v>16.799999999999997</v>
      </c>
      <c r="AS9" s="41">
        <f t="shared" si="8"/>
        <v>60</v>
      </c>
      <c r="AT9" s="36"/>
      <c r="AU9" s="26" t="s">
        <v>5</v>
      </c>
      <c r="AV9" s="27" t="s">
        <v>6</v>
      </c>
      <c r="AW9" s="24"/>
      <c r="AX9" s="24"/>
      <c r="AY9" s="25"/>
      <c r="AZ9" s="25"/>
      <c r="BA9" s="25"/>
      <c r="BB9" s="25"/>
      <c r="BC9" s="25"/>
      <c r="BD9" s="25"/>
    </row>
    <row r="10" spans="1:56" s="2" customFormat="1" ht="13.5" customHeight="1">
      <c r="A10" s="79" t="s">
        <v>76</v>
      </c>
      <c r="B10" s="80"/>
      <c r="C10" s="58">
        <f>AV1*C5+AV2*C5^-0.5</f>
        <v>50.64757303333053</v>
      </c>
      <c r="D10" s="50"/>
      <c r="E10" s="50"/>
      <c r="F10" s="38"/>
      <c r="G10" s="38"/>
      <c r="H10" s="38"/>
      <c r="I10" s="38"/>
      <c r="J10" s="36"/>
      <c r="K10" s="36"/>
      <c r="L10" s="36"/>
      <c r="M10" s="36"/>
      <c r="N10" s="36"/>
      <c r="O10" s="36"/>
      <c r="P10" s="36"/>
      <c r="Q10" s="36"/>
      <c r="R10" s="36"/>
      <c r="S10" s="36"/>
      <c r="T10" s="36"/>
      <c r="U10" s="36"/>
      <c r="V10" s="36"/>
      <c r="W10" s="36"/>
      <c r="X10" s="36"/>
      <c r="Y10" s="36"/>
      <c r="Z10" s="36"/>
      <c r="AA10" s="39">
        <f t="shared" si="9"/>
        <v>32</v>
      </c>
      <c r="AB10" s="40">
        <f t="shared" si="0"/>
        <v>1899.881418756469</v>
      </c>
      <c r="AC10" s="40">
        <f t="shared" si="1"/>
        <v>3240.7580806634805</v>
      </c>
      <c r="AD10" s="40">
        <f t="shared" si="10"/>
        <v>39.68564716806982</v>
      </c>
      <c r="AE10" s="40">
        <f t="shared" si="2"/>
        <v>5.793155739306523</v>
      </c>
      <c r="AF10" s="40">
        <f t="shared" si="11"/>
        <v>101.27369002073377</v>
      </c>
      <c r="AG10" s="40">
        <f t="shared" si="12"/>
        <v>59.37129433613964</v>
      </c>
      <c r="AH10" s="48">
        <f t="shared" si="3"/>
        <v>60</v>
      </c>
      <c r="AI10" s="48">
        <f t="shared" si="4"/>
        <v>60</v>
      </c>
      <c r="AJ10" s="40">
        <f t="shared" si="13"/>
        <v>20.11858124353148</v>
      </c>
      <c r="AK10" s="40">
        <f t="shared" si="14"/>
        <v>32</v>
      </c>
      <c r="AL10" s="40">
        <f t="shared" si="15"/>
        <v>-100000</v>
      </c>
      <c r="AM10" s="40">
        <f t="shared" si="5"/>
        <v>51.188765527462344</v>
      </c>
      <c r="AN10" s="40">
        <f t="shared" si="16"/>
        <v>-1320.7580806634805</v>
      </c>
      <c r="AO10" s="40">
        <f t="shared" si="17"/>
        <v>32</v>
      </c>
      <c r="AP10" s="40">
        <f t="shared" si="18"/>
        <v>-100000</v>
      </c>
      <c r="AQ10" s="40">
        <f t="shared" si="6"/>
        <v>50.96370140372067</v>
      </c>
      <c r="AR10" s="40">
        <f t="shared" si="7"/>
        <v>16.799999999999997</v>
      </c>
      <c r="AS10" s="41">
        <f t="shared" si="8"/>
        <v>60</v>
      </c>
      <c r="AT10" s="36"/>
      <c r="AU10" s="28">
        <f>AV$1*A86^2+AV$2*A86^0.5</f>
        <v>0</v>
      </c>
      <c r="AV10" s="31">
        <f>AV$6*A86^3+AV$7</f>
        <v>3178.9644194442108</v>
      </c>
      <c r="AW10" s="24"/>
      <c r="AX10" s="24"/>
      <c r="AY10" s="25"/>
      <c r="AZ10" s="25"/>
      <c r="BA10" s="25"/>
      <c r="BB10" s="25"/>
      <c r="BC10" s="25"/>
      <c r="BD10" s="25"/>
    </row>
    <row r="11" spans="1:56" s="2" customFormat="1" ht="13.5" customHeight="1">
      <c r="A11" s="73" t="s">
        <v>81</v>
      </c>
      <c r="B11" s="73"/>
      <c r="C11" s="46">
        <f>MAX(AP2:AP55)</f>
        <v>104</v>
      </c>
      <c r="D11" s="43"/>
      <c r="E11" s="43"/>
      <c r="F11" s="38"/>
      <c r="G11" s="38"/>
      <c r="H11" s="38"/>
      <c r="I11" s="38"/>
      <c r="J11" s="36"/>
      <c r="K11" s="36"/>
      <c r="L11" s="36"/>
      <c r="M11" s="36"/>
      <c r="N11" s="36"/>
      <c r="O11" s="36"/>
      <c r="P11" s="36"/>
      <c r="Q11" s="36"/>
      <c r="R11" s="36"/>
      <c r="S11" s="36"/>
      <c r="T11" s="36"/>
      <c r="U11" s="36"/>
      <c r="V11" s="36"/>
      <c r="W11" s="36"/>
      <c r="X11" s="36"/>
      <c r="Y11" s="36"/>
      <c r="Z11" s="36"/>
      <c r="AA11" s="39">
        <f t="shared" si="9"/>
        <v>36</v>
      </c>
      <c r="AB11" s="40">
        <f t="shared" si="0"/>
        <v>2058.8543819998317</v>
      </c>
      <c r="AC11" s="40">
        <f t="shared" si="1"/>
        <v>3266.947972234929</v>
      </c>
      <c r="AD11" s="40">
        <f t="shared" si="10"/>
        <v>39.84519974999766</v>
      </c>
      <c r="AE11" s="40">
        <f t="shared" si="2"/>
        <v>7.331962732559818</v>
      </c>
      <c r="AF11" s="40">
        <f t="shared" si="11"/>
        <v>90.74855478430356</v>
      </c>
      <c r="AG11" s="40">
        <f t="shared" si="12"/>
        <v>57.19039949999532</v>
      </c>
      <c r="AH11" s="48">
        <f t="shared" si="3"/>
        <v>60</v>
      </c>
      <c r="AI11" s="48">
        <f t="shared" si="4"/>
        <v>60</v>
      </c>
      <c r="AJ11" s="40">
        <f t="shared" si="13"/>
        <v>101.14561800016838</v>
      </c>
      <c r="AK11" s="40">
        <f t="shared" si="14"/>
        <v>36</v>
      </c>
      <c r="AL11" s="40">
        <f t="shared" si="15"/>
        <v>-100000</v>
      </c>
      <c r="AM11" s="40">
        <f t="shared" si="5"/>
        <v>51.188765527462344</v>
      </c>
      <c r="AN11" s="40">
        <f t="shared" si="16"/>
        <v>-1106.9479722349283</v>
      </c>
      <c r="AO11" s="40">
        <f t="shared" si="17"/>
        <v>36</v>
      </c>
      <c r="AP11" s="40">
        <f t="shared" si="18"/>
        <v>-100000</v>
      </c>
      <c r="AQ11" s="40">
        <f t="shared" si="6"/>
        <v>50.96370140372067</v>
      </c>
      <c r="AR11" s="40">
        <f t="shared" si="7"/>
        <v>16.799999999999997</v>
      </c>
      <c r="AS11" s="41">
        <f t="shared" si="8"/>
        <v>60</v>
      </c>
      <c r="AT11" s="36"/>
      <c r="AU11" s="28"/>
      <c r="AV11" s="31"/>
      <c r="AW11" s="24"/>
      <c r="AX11" s="24"/>
      <c r="AY11" s="25"/>
      <c r="AZ11" s="25"/>
      <c r="BA11" s="25"/>
      <c r="BB11" s="25"/>
      <c r="BC11" s="25"/>
      <c r="BD11" s="25"/>
    </row>
    <row r="12" spans="1:56" s="2" customFormat="1" ht="13.5" customHeight="1">
      <c r="A12" s="73" t="s">
        <v>56</v>
      </c>
      <c r="B12" s="73"/>
      <c r="C12" s="47">
        <f>(AV6*C11^2+AV7/C11)</f>
        <v>50.96370140372067</v>
      </c>
      <c r="D12" s="43"/>
      <c r="E12" s="43"/>
      <c r="F12" s="38"/>
      <c r="G12" s="38"/>
      <c r="H12" s="38"/>
      <c r="I12" s="38"/>
      <c r="J12" s="36"/>
      <c r="K12" s="36"/>
      <c r="L12" s="36"/>
      <c r="M12" s="36"/>
      <c r="N12" s="36"/>
      <c r="O12" s="36"/>
      <c r="P12" s="36"/>
      <c r="Q12" s="36"/>
      <c r="R12" s="36"/>
      <c r="S12" s="36"/>
      <c r="T12" s="36"/>
      <c r="U12" s="36"/>
      <c r="V12" s="36"/>
      <c r="W12" s="36"/>
      <c r="X12" s="36"/>
      <c r="Y12" s="36"/>
      <c r="Z12" s="36"/>
      <c r="AA12" s="39">
        <f t="shared" si="9"/>
        <v>40</v>
      </c>
      <c r="AB12" s="40">
        <f t="shared" si="0"/>
        <v>2218.9514164974603</v>
      </c>
      <c r="AC12" s="40">
        <f t="shared" si="1"/>
        <v>3299.6551640130965</v>
      </c>
      <c r="AD12" s="40">
        <f t="shared" si="10"/>
        <v>40.23689270621825</v>
      </c>
      <c r="AE12" s="40">
        <f t="shared" si="2"/>
        <v>9.051805842666443</v>
      </c>
      <c r="AF12" s="40">
        <f t="shared" si="11"/>
        <v>82.49137910032742</v>
      </c>
      <c r="AG12" s="40">
        <f t="shared" si="12"/>
        <v>55.4737854124365</v>
      </c>
      <c r="AH12" s="48">
        <f t="shared" si="3"/>
        <v>60</v>
      </c>
      <c r="AI12" s="48">
        <f t="shared" si="4"/>
        <v>60</v>
      </c>
      <c r="AJ12" s="40">
        <f t="shared" si="13"/>
        <v>181.04858350254005</v>
      </c>
      <c r="AK12" s="40">
        <f t="shared" si="14"/>
        <v>40</v>
      </c>
      <c r="AL12" s="40">
        <f t="shared" si="15"/>
        <v>-100000</v>
      </c>
      <c r="AM12" s="40">
        <f t="shared" si="5"/>
        <v>51.188765527462344</v>
      </c>
      <c r="AN12" s="40">
        <f t="shared" si="16"/>
        <v>-899.6551640130969</v>
      </c>
      <c r="AO12" s="40">
        <f t="shared" si="17"/>
        <v>40</v>
      </c>
      <c r="AP12" s="40">
        <f t="shared" si="18"/>
        <v>-100000</v>
      </c>
      <c r="AQ12" s="40">
        <f t="shared" si="6"/>
        <v>50.96370140372067</v>
      </c>
      <c r="AR12" s="40">
        <f t="shared" si="7"/>
        <v>16.799999999999997</v>
      </c>
      <c r="AS12" s="41">
        <f t="shared" si="8"/>
        <v>60</v>
      </c>
      <c r="AT12" s="36"/>
      <c r="AU12" s="28">
        <f>AV$1*A88^2+AV$2*A88^0.5</f>
        <v>1580.5934866804428</v>
      </c>
      <c r="AV12" s="31">
        <f>AV$6*A88^3+AV$7</f>
        <v>3205.03362027109</v>
      </c>
      <c r="AW12" s="24"/>
      <c r="AX12" s="24"/>
      <c r="AY12" s="25"/>
      <c r="AZ12" s="25"/>
      <c r="BA12" s="25"/>
      <c r="BB12" s="25"/>
      <c r="BC12" s="25"/>
      <c r="BD12" s="25"/>
    </row>
    <row r="13" spans="1:56" s="2" customFormat="1" ht="13.5" customHeight="1">
      <c r="A13" s="73" t="s">
        <v>58</v>
      </c>
      <c r="B13" s="73"/>
      <c r="C13" s="47">
        <f>(C6-C12)*C11</f>
        <v>939.7750540130503</v>
      </c>
      <c r="D13" s="50"/>
      <c r="E13" s="50"/>
      <c r="F13" s="36"/>
      <c r="G13" s="38"/>
      <c r="H13" s="38"/>
      <c r="I13" s="38"/>
      <c r="J13" s="36"/>
      <c r="K13" s="36"/>
      <c r="L13" s="36"/>
      <c r="M13" s="36"/>
      <c r="N13" s="36"/>
      <c r="O13" s="36"/>
      <c r="P13" s="36"/>
      <c r="Q13" s="36"/>
      <c r="R13" s="36"/>
      <c r="S13" s="36"/>
      <c r="T13" s="36"/>
      <c r="U13" s="36"/>
      <c r="V13" s="36"/>
      <c r="W13" s="36"/>
      <c r="X13" s="36"/>
      <c r="Y13" s="36"/>
      <c r="Z13" s="36"/>
      <c r="AA13" s="39">
        <f t="shared" si="9"/>
        <v>44</v>
      </c>
      <c r="AB13" s="40">
        <f t="shared" si="0"/>
        <v>2380.98626322551</v>
      </c>
      <c r="AC13" s="40">
        <f t="shared" si="1"/>
        <v>3339.603800465398</v>
      </c>
      <c r="AD13" s="40">
        <f t="shared" si="10"/>
        <v>40.80666208210807</v>
      </c>
      <c r="AE13" s="40">
        <f t="shared" si="2"/>
        <v>10.952685069626396</v>
      </c>
      <c r="AF13" s="40">
        <f t="shared" si="11"/>
        <v>75.9000863742136</v>
      </c>
      <c r="AG13" s="40">
        <f t="shared" si="12"/>
        <v>54.11332416421614</v>
      </c>
      <c r="AH13" s="48">
        <f t="shared" si="3"/>
        <v>60</v>
      </c>
      <c r="AI13" s="48">
        <f t="shared" si="4"/>
        <v>60</v>
      </c>
      <c r="AJ13" s="40">
        <f t="shared" si="13"/>
        <v>259.0137367744899</v>
      </c>
      <c r="AK13" s="40">
        <f t="shared" si="14"/>
        <v>44</v>
      </c>
      <c r="AL13" s="40">
        <f t="shared" si="15"/>
        <v>-100000</v>
      </c>
      <c r="AM13" s="40">
        <f t="shared" si="5"/>
        <v>51.188765527462344</v>
      </c>
      <c r="AN13" s="40">
        <f t="shared" si="16"/>
        <v>-699.6038004653984</v>
      </c>
      <c r="AO13" s="40">
        <f t="shared" si="17"/>
        <v>44</v>
      </c>
      <c r="AP13" s="40">
        <f t="shared" si="18"/>
        <v>-100000</v>
      </c>
      <c r="AQ13" s="40">
        <f t="shared" si="6"/>
        <v>50.96370140372067</v>
      </c>
      <c r="AR13" s="40">
        <f t="shared" si="7"/>
        <v>16.799999999999997</v>
      </c>
      <c r="AS13" s="41">
        <f t="shared" si="8"/>
        <v>60</v>
      </c>
      <c r="AT13" s="36"/>
      <c r="AU13" s="28"/>
      <c r="AV13" s="31"/>
      <c r="AW13" s="24"/>
      <c r="AX13" s="24"/>
      <c r="AY13" s="25"/>
      <c r="AZ13" s="25"/>
      <c r="BA13" s="25"/>
      <c r="BB13" s="25"/>
      <c r="BC13" s="25"/>
      <c r="BD13" s="25"/>
    </row>
    <row r="14" spans="1:56" s="2" customFormat="1" ht="13.5" customHeight="1">
      <c r="A14" s="73" t="s">
        <v>60</v>
      </c>
      <c r="B14" s="73"/>
      <c r="C14" s="47">
        <f>C6-0.4*C11</f>
        <v>18.4</v>
      </c>
      <c r="D14" s="43"/>
      <c r="E14" s="50"/>
      <c r="F14" s="38"/>
      <c r="G14" s="38"/>
      <c r="H14" s="38"/>
      <c r="I14" s="38"/>
      <c r="J14" s="36"/>
      <c r="K14" s="36"/>
      <c r="L14" s="36"/>
      <c r="M14" s="36"/>
      <c r="N14" s="36"/>
      <c r="O14" s="36"/>
      <c r="P14" s="36"/>
      <c r="Q14" s="36"/>
      <c r="R14" s="36"/>
      <c r="S14" s="36"/>
      <c r="T14" s="36"/>
      <c r="U14" s="36"/>
      <c r="V14" s="36"/>
      <c r="W14" s="36"/>
      <c r="X14" s="36"/>
      <c r="Y14" s="36"/>
      <c r="Z14" s="36"/>
      <c r="AA14" s="39">
        <f t="shared" si="9"/>
        <v>48</v>
      </c>
      <c r="AB14" s="40">
        <f t="shared" si="0"/>
        <v>2545.591117977289</v>
      </c>
      <c r="AC14" s="40">
        <f t="shared" si="1"/>
        <v>3387.5180260592456</v>
      </c>
      <c r="AD14" s="40">
        <f t="shared" si="10"/>
        <v>41.51657414559676</v>
      </c>
      <c r="AE14" s="40">
        <f t="shared" si="2"/>
        <v>13.034600413439676</v>
      </c>
      <c r="AF14" s="40">
        <f t="shared" si="11"/>
        <v>70.57329220956761</v>
      </c>
      <c r="AG14" s="40">
        <f t="shared" si="12"/>
        <v>53.03314829119353</v>
      </c>
      <c r="AH14" s="48">
        <f t="shared" si="3"/>
        <v>60</v>
      </c>
      <c r="AI14" s="48">
        <f t="shared" si="4"/>
        <v>60</v>
      </c>
      <c r="AJ14" s="40">
        <f t="shared" si="13"/>
        <v>334.4088820227107</v>
      </c>
      <c r="AK14" s="40">
        <f t="shared" si="14"/>
        <v>48</v>
      </c>
      <c r="AL14" s="40">
        <f t="shared" si="15"/>
        <v>-100000</v>
      </c>
      <c r="AM14" s="40">
        <f t="shared" si="5"/>
        <v>51.188765527462344</v>
      </c>
      <c r="AN14" s="40">
        <f t="shared" si="16"/>
        <v>-507.51802605924536</v>
      </c>
      <c r="AO14" s="40">
        <f t="shared" si="17"/>
        <v>48</v>
      </c>
      <c r="AP14" s="40">
        <f t="shared" si="18"/>
        <v>-100000</v>
      </c>
      <c r="AQ14" s="40">
        <f t="shared" si="6"/>
        <v>50.96370140372067</v>
      </c>
      <c r="AR14" s="40">
        <f t="shared" si="7"/>
        <v>16.799999999999997</v>
      </c>
      <c r="AS14" s="41">
        <f t="shared" si="8"/>
        <v>60</v>
      </c>
      <c r="AT14" s="36"/>
      <c r="AU14" s="28">
        <f>AV$1*A90^2+AV$2*A90^0.5</f>
        <v>2545.591117977289</v>
      </c>
      <c r="AV14" s="31">
        <f>AV$6*A90^3+AV$7</f>
        <v>3387.5180260592456</v>
      </c>
      <c r="AW14" s="24"/>
      <c r="AX14" s="24"/>
      <c r="AY14" s="25"/>
      <c r="AZ14" s="25"/>
      <c r="BA14" s="25"/>
      <c r="BB14" s="25"/>
      <c r="BC14" s="25"/>
      <c r="BD14" s="25"/>
    </row>
    <row r="15" spans="1:56" s="2" customFormat="1" ht="13.5" customHeight="1">
      <c r="A15" s="73" t="s">
        <v>82</v>
      </c>
      <c r="B15" s="73"/>
      <c r="C15" s="47">
        <f>IF(C6&gt;C4,MAX(AL3:AL55),0)</f>
        <v>108</v>
      </c>
      <c r="D15" s="43"/>
      <c r="E15" s="50"/>
      <c r="F15" s="38"/>
      <c r="G15" s="38"/>
      <c r="H15" s="38"/>
      <c r="I15" s="38"/>
      <c r="J15" s="36"/>
      <c r="K15" s="36"/>
      <c r="L15" s="36"/>
      <c r="M15" s="36"/>
      <c r="N15" s="36"/>
      <c r="O15" s="36"/>
      <c r="P15" s="36"/>
      <c r="Q15" s="36"/>
      <c r="R15" s="36"/>
      <c r="S15" s="36"/>
      <c r="T15" s="36"/>
      <c r="U15" s="36"/>
      <c r="V15" s="36"/>
      <c r="W15" s="36"/>
      <c r="X15" s="36"/>
      <c r="Y15" s="36"/>
      <c r="Z15" s="36"/>
      <c r="AA15" s="39">
        <f t="shared" si="9"/>
        <v>52</v>
      </c>
      <c r="AB15" s="40">
        <f t="shared" si="0"/>
        <v>2713.2687328796133</v>
      </c>
      <c r="AC15" s="40">
        <f t="shared" si="1"/>
        <v>3444.121985262053</v>
      </c>
      <c r="AD15" s="40">
        <f t="shared" si="10"/>
        <v>42.33912243153475</v>
      </c>
      <c r="AE15" s="40">
        <f t="shared" si="2"/>
        <v>15.297551874106288</v>
      </c>
      <c r="AF15" s="40">
        <f t="shared" si="11"/>
        <v>66.23311510119333</v>
      </c>
      <c r="AG15" s="40">
        <f t="shared" si="12"/>
        <v>52.17824486306949</v>
      </c>
      <c r="AH15" s="48">
        <f t="shared" si="3"/>
        <v>60</v>
      </c>
      <c r="AI15" s="48">
        <f t="shared" si="4"/>
        <v>60</v>
      </c>
      <c r="AJ15" s="40">
        <f t="shared" si="13"/>
        <v>406.73126712038663</v>
      </c>
      <c r="AK15" s="40">
        <f t="shared" si="14"/>
        <v>52</v>
      </c>
      <c r="AL15" s="40">
        <f t="shared" si="15"/>
        <v>-100000</v>
      </c>
      <c r="AM15" s="40">
        <f t="shared" si="5"/>
        <v>51.188765527462344</v>
      </c>
      <c r="AN15" s="40">
        <f t="shared" si="16"/>
        <v>-324.1219852620534</v>
      </c>
      <c r="AO15" s="40">
        <f t="shared" si="17"/>
        <v>52</v>
      </c>
      <c r="AP15" s="40">
        <f t="shared" si="18"/>
        <v>-100000</v>
      </c>
      <c r="AQ15" s="40">
        <f t="shared" si="6"/>
        <v>50.96370140372067</v>
      </c>
      <c r="AR15" s="40">
        <f t="shared" si="7"/>
        <v>16.799999999999997</v>
      </c>
      <c r="AS15" s="41">
        <f t="shared" si="8"/>
        <v>60</v>
      </c>
      <c r="AT15" s="36"/>
      <c r="AU15" s="28"/>
      <c r="AV15" s="31"/>
      <c r="AW15" s="24"/>
      <c r="AX15" s="24"/>
      <c r="AY15" s="25"/>
      <c r="AZ15" s="25"/>
      <c r="BA15" s="25"/>
      <c r="BB15" s="25"/>
      <c r="BC15" s="25"/>
      <c r="BD15" s="25"/>
    </row>
    <row r="16" spans="1:56" s="2" customFormat="1" ht="13.5" customHeight="1">
      <c r="A16" s="73" t="s">
        <v>55</v>
      </c>
      <c r="B16" s="73"/>
      <c r="C16" s="47">
        <f>AV1*C15+AV2/C15^0.5</f>
        <v>51.188765527462344</v>
      </c>
      <c r="D16" s="43"/>
      <c r="E16" s="50"/>
      <c r="F16" s="36"/>
      <c r="G16" s="36"/>
      <c r="H16" s="38"/>
      <c r="I16" s="38"/>
      <c r="J16" s="36"/>
      <c r="K16" s="36"/>
      <c r="L16" s="36"/>
      <c r="M16" s="36"/>
      <c r="N16" s="36"/>
      <c r="O16" s="36"/>
      <c r="P16" s="36"/>
      <c r="Q16" s="36"/>
      <c r="R16" s="36"/>
      <c r="S16" s="36"/>
      <c r="T16" s="36"/>
      <c r="U16" s="36"/>
      <c r="V16" s="36"/>
      <c r="W16" s="36"/>
      <c r="X16" s="36"/>
      <c r="Y16" s="36"/>
      <c r="Z16" s="36"/>
      <c r="AA16" s="39">
        <f t="shared" si="9"/>
        <v>56</v>
      </c>
      <c r="AB16" s="40">
        <f t="shared" si="0"/>
        <v>2884.4267374242013</v>
      </c>
      <c r="AC16" s="40">
        <f t="shared" si="1"/>
        <v>3510.1398225412336</v>
      </c>
      <c r="AD16" s="40">
        <f t="shared" si="10"/>
        <v>43.253810155573234</v>
      </c>
      <c r="AE16" s="40">
        <f t="shared" si="2"/>
        <v>17.741539451626227</v>
      </c>
      <c r="AF16" s="40">
        <f t="shared" si="11"/>
        <v>62.68106825966489</v>
      </c>
      <c r="AG16" s="40">
        <f t="shared" si="12"/>
        <v>51.507620311146454</v>
      </c>
      <c r="AH16" s="48">
        <f t="shared" si="3"/>
        <v>60</v>
      </c>
      <c r="AI16" s="48">
        <f t="shared" si="4"/>
        <v>60</v>
      </c>
      <c r="AJ16" s="40">
        <f t="shared" si="13"/>
        <v>475.5732625757986</v>
      </c>
      <c r="AK16" s="40">
        <f t="shared" si="14"/>
        <v>56</v>
      </c>
      <c r="AL16" s="40">
        <f t="shared" si="15"/>
        <v>-100000</v>
      </c>
      <c r="AM16" s="40">
        <f t="shared" si="5"/>
        <v>51.188765527462344</v>
      </c>
      <c r="AN16" s="40">
        <f t="shared" si="16"/>
        <v>-150.13982254123385</v>
      </c>
      <c r="AO16" s="40">
        <f t="shared" si="17"/>
        <v>56</v>
      </c>
      <c r="AP16" s="40">
        <f t="shared" si="18"/>
        <v>-100000</v>
      </c>
      <c r="AQ16" s="40">
        <f t="shared" si="6"/>
        <v>50.96370140372067</v>
      </c>
      <c r="AR16" s="40">
        <f t="shared" si="7"/>
        <v>16.799999999999997</v>
      </c>
      <c r="AS16" s="41">
        <f t="shared" si="8"/>
        <v>60</v>
      </c>
      <c r="AT16" s="36"/>
      <c r="AU16" s="28">
        <f>AV$1*A92^2+AV$2*A92^0.5</f>
        <v>3609.8221281347032</v>
      </c>
      <c r="AV16" s="31">
        <f>AV$6*A92^3+AV$7</f>
        <v>3882.832841769953</v>
      </c>
      <c r="AW16" s="24"/>
      <c r="AX16" s="24"/>
      <c r="AY16" s="25"/>
      <c r="AZ16" s="25"/>
      <c r="BA16" s="25"/>
      <c r="BB16" s="25"/>
      <c r="BC16" s="25"/>
      <c r="BD16" s="25"/>
    </row>
    <row r="17" spans="1:56" s="2" customFormat="1" ht="13.5" customHeight="1">
      <c r="A17" s="73" t="s">
        <v>57</v>
      </c>
      <c r="B17" s="73"/>
      <c r="C17" s="47">
        <f>(C6-C16)*C15</f>
        <v>951.6133230340669</v>
      </c>
      <c r="D17" s="43"/>
      <c r="E17" s="50"/>
      <c r="F17" s="36"/>
      <c r="G17" s="36"/>
      <c r="H17" s="38"/>
      <c r="I17" s="38"/>
      <c r="J17" s="36"/>
      <c r="K17" s="36"/>
      <c r="L17" s="36"/>
      <c r="M17" s="36"/>
      <c r="N17" s="36"/>
      <c r="O17" s="36"/>
      <c r="P17" s="36"/>
      <c r="Q17" s="36"/>
      <c r="R17" s="36"/>
      <c r="S17" s="36"/>
      <c r="T17" s="36"/>
      <c r="U17" s="36"/>
      <c r="V17" s="36"/>
      <c r="W17" s="36"/>
      <c r="X17" s="36"/>
      <c r="Y17" s="36"/>
      <c r="Z17" s="36"/>
      <c r="AA17" s="39">
        <f t="shared" si="9"/>
        <v>60</v>
      </c>
      <c r="AB17" s="40">
        <f t="shared" si="0"/>
        <v>3059.4010767585028</v>
      </c>
      <c r="AC17" s="40">
        <f t="shared" si="1"/>
        <v>3586.2956823642007</v>
      </c>
      <c r="AD17" s="40">
        <f t="shared" si="10"/>
        <v>44.24500897298752</v>
      </c>
      <c r="AE17" s="40">
        <f t="shared" si="2"/>
        <v>20.366563145999496</v>
      </c>
      <c r="AF17" s="40">
        <f t="shared" si="11"/>
        <v>59.77159470607001</v>
      </c>
      <c r="AG17" s="40">
        <f t="shared" si="12"/>
        <v>50.99001794597504</v>
      </c>
      <c r="AH17" s="48">
        <f t="shared" si="3"/>
        <v>60</v>
      </c>
      <c r="AI17" s="48">
        <f t="shared" si="4"/>
        <v>60</v>
      </c>
      <c r="AJ17" s="40">
        <f t="shared" si="13"/>
        <v>540.5989232414976</v>
      </c>
      <c r="AK17" s="40">
        <f t="shared" si="14"/>
        <v>60</v>
      </c>
      <c r="AL17" s="40">
        <f t="shared" si="15"/>
        <v>-100000</v>
      </c>
      <c r="AM17" s="40">
        <f t="shared" si="5"/>
        <v>51.188765527462344</v>
      </c>
      <c r="AN17" s="40">
        <f t="shared" si="16"/>
        <v>13.704317635799299</v>
      </c>
      <c r="AO17" s="40">
        <f t="shared" si="17"/>
        <v>60</v>
      </c>
      <c r="AP17" s="40">
        <f t="shared" si="18"/>
        <v>-100000</v>
      </c>
      <c r="AQ17" s="40">
        <f t="shared" si="6"/>
        <v>50.96370140372067</v>
      </c>
      <c r="AR17" s="40">
        <f t="shared" si="7"/>
        <v>16.799999999999997</v>
      </c>
      <c r="AS17" s="41">
        <f t="shared" si="8"/>
        <v>60</v>
      </c>
      <c r="AT17" s="36"/>
      <c r="AU17" s="28"/>
      <c r="AV17" s="31"/>
      <c r="AW17" s="24"/>
      <c r="AX17" s="24"/>
      <c r="AY17" s="25"/>
      <c r="AZ17" s="25"/>
      <c r="BA17" s="25"/>
      <c r="BB17" s="25"/>
      <c r="BC17" s="25"/>
      <c r="BD17" s="25"/>
    </row>
    <row r="18" spans="1:56" s="2" customFormat="1" ht="13.5" customHeight="1">
      <c r="A18" s="73" t="s">
        <v>59</v>
      </c>
      <c r="B18" s="73"/>
      <c r="C18" s="47">
        <f>C6-0.4*C15</f>
        <v>16.799999999999997</v>
      </c>
      <c r="D18" s="36"/>
      <c r="E18" s="36"/>
      <c r="F18" s="36"/>
      <c r="G18" s="36"/>
      <c r="H18" s="38"/>
      <c r="I18" s="38"/>
      <c r="J18" s="36"/>
      <c r="K18" s="36"/>
      <c r="L18" s="36"/>
      <c r="M18" s="36"/>
      <c r="N18" s="36"/>
      <c r="O18" s="36"/>
      <c r="P18" s="36"/>
      <c r="Q18" s="36"/>
      <c r="R18" s="36"/>
      <c r="S18" s="36"/>
      <c r="T18" s="36"/>
      <c r="U18" s="36"/>
      <c r="V18" s="36"/>
      <c r="W18" s="36"/>
      <c r="X18" s="36"/>
      <c r="Y18" s="36"/>
      <c r="Z18" s="36"/>
      <c r="AA18" s="39">
        <f t="shared" si="9"/>
        <v>64</v>
      </c>
      <c r="AB18" s="40">
        <f t="shared" si="0"/>
        <v>3238.472509333109</v>
      </c>
      <c r="AC18" s="40">
        <f t="shared" si="1"/>
        <v>3673.313709198367</v>
      </c>
      <c r="AD18" s="40">
        <f t="shared" si="10"/>
        <v>45.300566479164914</v>
      </c>
      <c r="AE18" s="40">
        <f t="shared" si="2"/>
        <v>23.172622957226093</v>
      </c>
      <c r="AF18" s="40">
        <f t="shared" si="11"/>
        <v>57.39552670622449</v>
      </c>
      <c r="AG18" s="40">
        <f t="shared" si="12"/>
        <v>50.60113295832983</v>
      </c>
      <c r="AH18" s="48">
        <f t="shared" si="3"/>
        <v>60</v>
      </c>
      <c r="AI18" s="48">
        <f t="shared" si="4"/>
        <v>60</v>
      </c>
      <c r="AJ18" s="40">
        <f t="shared" si="13"/>
        <v>601.527490666891</v>
      </c>
      <c r="AK18" s="40">
        <f t="shared" si="14"/>
        <v>64</v>
      </c>
      <c r="AL18" s="40">
        <f t="shared" si="15"/>
        <v>-100000</v>
      </c>
      <c r="AM18" s="40">
        <f t="shared" si="5"/>
        <v>51.188765527462344</v>
      </c>
      <c r="AN18" s="40">
        <f t="shared" si="16"/>
        <v>166.68629080163282</v>
      </c>
      <c r="AO18" s="40">
        <f t="shared" si="17"/>
        <v>64</v>
      </c>
      <c r="AP18" s="40">
        <f t="shared" si="18"/>
        <v>-100000</v>
      </c>
      <c r="AQ18" s="40">
        <f t="shared" si="6"/>
        <v>50.96370140372067</v>
      </c>
      <c r="AR18" s="40">
        <f t="shared" si="7"/>
        <v>16.799999999999997</v>
      </c>
      <c r="AS18" s="41">
        <f t="shared" si="8"/>
        <v>60</v>
      </c>
      <c r="AT18" s="36"/>
      <c r="AU18" s="28">
        <f>AV$1*A94^2+AV$2*A94^0.5</f>
        <v>4841.1869733608855</v>
      </c>
      <c r="AV18" s="31">
        <f>AV$6*A94^3+AV$7</f>
        <v>4847.393272364489</v>
      </c>
      <c r="AW18" s="24"/>
      <c r="AX18" s="24"/>
      <c r="AY18" s="25"/>
      <c r="AZ18" s="25"/>
      <c r="BA18" s="25"/>
      <c r="BB18" s="25"/>
      <c r="BC18" s="25"/>
      <c r="BD18" s="25"/>
    </row>
    <row r="19" spans="1:56" s="2" customFormat="1" ht="13.5" customHeight="1">
      <c r="A19" s="36" t="s">
        <v>78</v>
      </c>
      <c r="B19" s="36"/>
      <c r="C19" s="36"/>
      <c r="D19" s="38"/>
      <c r="E19" s="38"/>
      <c r="F19" s="36"/>
      <c r="G19" s="36"/>
      <c r="H19" s="38"/>
      <c r="I19" s="38"/>
      <c r="J19" s="36"/>
      <c r="K19" s="36"/>
      <c r="L19" s="36"/>
      <c r="M19" s="36"/>
      <c r="N19" s="36"/>
      <c r="O19" s="36"/>
      <c r="P19" s="36"/>
      <c r="Q19" s="36"/>
      <c r="R19" s="36"/>
      <c r="S19" s="36"/>
      <c r="T19" s="36"/>
      <c r="U19" s="36"/>
      <c r="V19" s="36"/>
      <c r="W19" s="36"/>
      <c r="X19" s="36"/>
      <c r="Y19" s="36"/>
      <c r="Z19" s="36"/>
      <c r="AA19" s="39">
        <f t="shared" si="9"/>
        <v>68</v>
      </c>
      <c r="AB19" s="40">
        <f t="shared" si="0"/>
        <v>3421.87852194477</v>
      </c>
      <c r="AC19" s="40">
        <f t="shared" si="1"/>
        <v>3771.918047511147</v>
      </c>
      <c r="AD19" s="40">
        <f t="shared" si="10"/>
        <v>46.41087148488802</v>
      </c>
      <c r="AE19" s="40">
        <f t="shared" si="2"/>
        <v>26.15971888530602</v>
      </c>
      <c r="AF19" s="40">
        <f t="shared" si="11"/>
        <v>55.469383051634516</v>
      </c>
      <c r="AG19" s="40">
        <f t="shared" si="12"/>
        <v>50.321742969776025</v>
      </c>
      <c r="AH19" s="48">
        <f t="shared" si="3"/>
        <v>60</v>
      </c>
      <c r="AI19" s="48">
        <f t="shared" si="4"/>
        <v>60</v>
      </c>
      <c r="AJ19" s="40">
        <f t="shared" si="13"/>
        <v>658.1214780552302</v>
      </c>
      <c r="AK19" s="40">
        <f t="shared" si="14"/>
        <v>68</v>
      </c>
      <c r="AL19" s="40">
        <f t="shared" si="15"/>
        <v>-100000</v>
      </c>
      <c r="AM19" s="40">
        <f t="shared" si="5"/>
        <v>51.188765527462344</v>
      </c>
      <c r="AN19" s="40">
        <f t="shared" si="16"/>
        <v>308.08195248885295</v>
      </c>
      <c r="AO19" s="40">
        <f t="shared" si="17"/>
        <v>68</v>
      </c>
      <c r="AP19" s="40">
        <f t="shared" si="18"/>
        <v>-100000</v>
      </c>
      <c r="AQ19" s="40">
        <f t="shared" si="6"/>
        <v>50.96370140372067</v>
      </c>
      <c r="AR19" s="40">
        <f t="shared" si="7"/>
        <v>16.799999999999997</v>
      </c>
      <c r="AS19" s="41">
        <f t="shared" si="8"/>
        <v>60</v>
      </c>
      <c r="AT19" s="36"/>
      <c r="AU19" s="28"/>
      <c r="AV19" s="31"/>
      <c r="AW19" s="24"/>
      <c r="AX19" s="24"/>
      <c r="AY19" s="25"/>
      <c r="AZ19" s="25"/>
      <c r="BA19" s="25"/>
      <c r="BB19" s="25"/>
      <c r="BC19" s="25"/>
      <c r="BD19" s="25"/>
    </row>
    <row r="20" spans="1:56" s="2" customFormat="1" ht="13.5" customHeight="1">
      <c r="A20" s="36"/>
      <c r="B20" s="36"/>
      <c r="C20" s="36"/>
      <c r="D20" s="36"/>
      <c r="E20" s="36"/>
      <c r="F20" s="36"/>
      <c r="G20" s="36"/>
      <c r="H20" s="38"/>
      <c r="I20" s="38"/>
      <c r="J20" s="36"/>
      <c r="K20" s="36"/>
      <c r="L20" s="36"/>
      <c r="M20" s="36"/>
      <c r="N20" s="36"/>
      <c r="O20" s="36"/>
      <c r="P20" s="36"/>
      <c r="Q20" s="36"/>
      <c r="R20" s="36"/>
      <c r="S20" s="36"/>
      <c r="T20" s="36"/>
      <c r="U20" s="36"/>
      <c r="V20" s="36"/>
      <c r="W20" s="36"/>
      <c r="X20" s="36"/>
      <c r="Y20" s="36"/>
      <c r="Z20" s="36"/>
      <c r="AA20" s="39">
        <f t="shared" si="9"/>
        <v>72</v>
      </c>
      <c r="AB20" s="40">
        <f t="shared" si="0"/>
        <v>3609.8221281347032</v>
      </c>
      <c r="AC20" s="40">
        <f t="shared" si="1"/>
        <v>3882.832841769953</v>
      </c>
      <c r="AD20" s="40">
        <f t="shared" si="10"/>
        <v>47.568209223157666</v>
      </c>
      <c r="AE20" s="40">
        <f t="shared" si="2"/>
        <v>29.327850930239272</v>
      </c>
      <c r="AF20" s="40">
        <f t="shared" si="11"/>
        <v>53.92823391347157</v>
      </c>
      <c r="AG20" s="40">
        <f t="shared" si="12"/>
        <v>50.136418446315325</v>
      </c>
      <c r="AH20" s="48">
        <f t="shared" si="3"/>
        <v>60</v>
      </c>
      <c r="AI20" s="48">
        <f t="shared" si="4"/>
        <v>60</v>
      </c>
      <c r="AJ20" s="40">
        <f t="shared" si="13"/>
        <v>710.1778718652965</v>
      </c>
      <c r="AK20" s="40">
        <f t="shared" si="14"/>
        <v>72</v>
      </c>
      <c r="AL20" s="40">
        <f t="shared" si="15"/>
        <v>-100000</v>
      </c>
      <c r="AM20" s="40">
        <f t="shared" si="5"/>
        <v>51.188765527462344</v>
      </c>
      <c r="AN20" s="40">
        <f t="shared" si="16"/>
        <v>437.16715823004677</v>
      </c>
      <c r="AO20" s="40">
        <f t="shared" si="17"/>
        <v>72</v>
      </c>
      <c r="AP20" s="40">
        <f t="shared" si="18"/>
        <v>-100000</v>
      </c>
      <c r="AQ20" s="40">
        <f t="shared" si="6"/>
        <v>50.96370140372067</v>
      </c>
      <c r="AR20" s="40">
        <f t="shared" si="7"/>
        <v>16.799999999999997</v>
      </c>
      <c r="AS20" s="41">
        <f t="shared" si="8"/>
        <v>60</v>
      </c>
      <c r="AT20" s="36"/>
      <c r="AU20" s="28">
        <f>AV$1*A96^2+AV$2*A96^0.5</f>
        <v>6265.986323710904</v>
      </c>
      <c r="AV20" s="31">
        <f>AV$6*A96^3+AV$7</f>
        <v>6437.61452280413</v>
      </c>
      <c r="AW20" s="24"/>
      <c r="AX20" s="24"/>
      <c r="AY20" s="25"/>
      <c r="AZ20" s="25"/>
      <c r="BA20" s="25"/>
      <c r="BB20" s="25"/>
      <c r="BC20" s="25"/>
      <c r="BD20" s="25"/>
    </row>
    <row r="21" spans="1:56" s="2" customFormat="1" ht="13.5" customHeight="1">
      <c r="A21" s="36"/>
      <c r="B21" s="36"/>
      <c r="C21" s="36"/>
      <c r="D21" s="36"/>
      <c r="E21" s="36"/>
      <c r="F21" s="36"/>
      <c r="G21" s="36"/>
      <c r="H21" s="38"/>
      <c r="I21" s="38"/>
      <c r="J21" s="36"/>
      <c r="K21" s="36"/>
      <c r="L21" s="36"/>
      <c r="M21" s="36"/>
      <c r="N21" s="36"/>
      <c r="O21" s="36"/>
      <c r="P21" s="36"/>
      <c r="Q21" s="36"/>
      <c r="R21" s="36"/>
      <c r="S21" s="36"/>
      <c r="T21" s="36"/>
      <c r="U21" s="36"/>
      <c r="V21" s="36"/>
      <c r="W21" s="36"/>
      <c r="X21" s="36"/>
      <c r="Y21" s="36"/>
      <c r="Z21" s="36"/>
      <c r="AA21" s="39">
        <f t="shared" si="9"/>
        <v>76</v>
      </c>
      <c r="AB21" s="40">
        <f t="shared" si="0"/>
        <v>3802.478491949057</v>
      </c>
      <c r="AC21" s="40">
        <f t="shared" si="1"/>
        <v>4006.782236442199</v>
      </c>
      <c r="AD21" s="40">
        <f t="shared" si="10"/>
        <v>48.7663058680859</v>
      </c>
      <c r="AE21" s="40">
        <f t="shared" si="2"/>
        <v>32.67701909202586</v>
      </c>
      <c r="AF21" s="40">
        <f t="shared" si="11"/>
        <v>52.72081890055525</v>
      </c>
      <c r="AG21" s="40">
        <f t="shared" si="12"/>
        <v>50.0326117361718</v>
      </c>
      <c r="AH21" s="48">
        <f t="shared" si="3"/>
        <v>60</v>
      </c>
      <c r="AI21" s="48">
        <f t="shared" si="4"/>
        <v>60</v>
      </c>
      <c r="AJ21" s="40">
        <f t="shared" si="13"/>
        <v>757.5215080509431</v>
      </c>
      <c r="AK21" s="40">
        <f t="shared" si="14"/>
        <v>76</v>
      </c>
      <c r="AL21" s="40">
        <f t="shared" si="15"/>
        <v>-100000</v>
      </c>
      <c r="AM21" s="40">
        <f t="shared" si="5"/>
        <v>51.188765527462344</v>
      </c>
      <c r="AN21" s="40">
        <f t="shared" si="16"/>
        <v>553.2177635578009</v>
      </c>
      <c r="AO21" s="40">
        <f t="shared" si="17"/>
        <v>76</v>
      </c>
      <c r="AP21" s="40">
        <f t="shared" si="18"/>
        <v>-100000</v>
      </c>
      <c r="AQ21" s="40">
        <f t="shared" si="6"/>
        <v>50.96370140372067</v>
      </c>
      <c r="AR21" s="40">
        <f t="shared" si="7"/>
        <v>16.799999999999997</v>
      </c>
      <c r="AS21" s="41">
        <f t="shared" si="8"/>
        <v>60</v>
      </c>
      <c r="AT21" s="36"/>
      <c r="AU21" s="28"/>
      <c r="AV21" s="31"/>
      <c r="AW21" s="24"/>
      <c r="AX21" s="24"/>
      <c r="AY21" s="25"/>
      <c r="AZ21" s="25"/>
      <c r="BA21" s="25"/>
      <c r="BB21" s="25"/>
      <c r="BC21" s="25"/>
      <c r="BD21" s="25"/>
    </row>
    <row r="22" spans="1:56" s="2" customFormat="1" ht="13.5" customHeight="1">
      <c r="A22" s="36"/>
      <c r="B22" s="36"/>
      <c r="C22" s="36"/>
      <c r="D22" s="36"/>
      <c r="E22" s="36"/>
      <c r="F22" s="38"/>
      <c r="G22" s="38"/>
      <c r="H22" s="38"/>
      <c r="I22" s="38"/>
      <c r="J22" s="36"/>
      <c r="K22" s="36"/>
      <c r="L22" s="36"/>
      <c r="M22" s="36"/>
      <c r="N22" s="36"/>
      <c r="O22" s="36"/>
      <c r="P22" s="36"/>
      <c r="Q22" s="36"/>
      <c r="R22" s="36"/>
      <c r="S22" s="36"/>
      <c r="T22" s="36"/>
      <c r="U22" s="36"/>
      <c r="V22" s="36"/>
      <c r="W22" s="36"/>
      <c r="X22" s="36"/>
      <c r="Y22" s="36"/>
      <c r="Z22" s="36"/>
      <c r="AA22" s="39">
        <f t="shared" si="9"/>
        <v>80</v>
      </c>
      <c r="AB22" s="40">
        <f t="shared" si="0"/>
        <v>4000</v>
      </c>
      <c r="AC22" s="40">
        <f t="shared" si="1"/>
        <v>4144.490375995298</v>
      </c>
      <c r="AD22" s="40">
        <f t="shared" si="10"/>
        <v>50</v>
      </c>
      <c r="AE22" s="40">
        <f t="shared" si="2"/>
        <v>36.20722337066577</v>
      </c>
      <c r="AF22" s="40">
        <f t="shared" si="11"/>
        <v>51.80612969994122</v>
      </c>
      <c r="AG22" s="40">
        <f t="shared" si="12"/>
        <v>50</v>
      </c>
      <c r="AH22" s="48">
        <f t="shared" si="3"/>
        <v>60</v>
      </c>
      <c r="AI22" s="48">
        <f t="shared" si="4"/>
        <v>60</v>
      </c>
      <c r="AJ22" s="40">
        <f t="shared" si="13"/>
        <v>800</v>
      </c>
      <c r="AK22" s="40">
        <f t="shared" si="14"/>
        <v>80</v>
      </c>
      <c r="AL22" s="40">
        <f t="shared" si="15"/>
        <v>-100000</v>
      </c>
      <c r="AM22" s="40">
        <f t="shared" si="5"/>
        <v>51.188765527462344</v>
      </c>
      <c r="AN22" s="40">
        <f t="shared" si="16"/>
        <v>655.5096240047021</v>
      </c>
      <c r="AO22" s="40">
        <f t="shared" si="17"/>
        <v>80</v>
      </c>
      <c r="AP22" s="40">
        <f t="shared" si="18"/>
        <v>-100000</v>
      </c>
      <c r="AQ22" s="40">
        <f t="shared" si="6"/>
        <v>50.96370140372067</v>
      </c>
      <c r="AR22" s="40">
        <f t="shared" si="7"/>
        <v>16.799999999999997</v>
      </c>
      <c r="AS22" s="41">
        <f t="shared" si="8"/>
        <v>60</v>
      </c>
      <c r="AT22" s="36"/>
      <c r="AU22" s="28">
        <f>AV$1*A98^2+AV$2*A98^0.5</f>
        <v>7897.7087639996635</v>
      </c>
      <c r="AV22" s="31">
        <f>AV$6*A98^3+AV$7</f>
        <v>8809.91179805015</v>
      </c>
      <c r="AW22" s="24"/>
      <c r="AX22" s="24"/>
      <c r="AY22" s="25"/>
      <c r="AZ22" s="25"/>
      <c r="BA22" s="25"/>
      <c r="BB22" s="25"/>
      <c r="BC22" s="25"/>
      <c r="BD22" s="25"/>
    </row>
    <row r="23" spans="1:56" s="2" customFormat="1" ht="13.5"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9">
        <f t="shared" si="9"/>
        <v>84</v>
      </c>
      <c r="AB23" s="40">
        <f t="shared" si="0"/>
        <v>4202.520204255892</v>
      </c>
      <c r="AC23" s="40">
        <f t="shared" si="1"/>
        <v>4296.681404896663</v>
      </c>
      <c r="AD23" s="40">
        <f t="shared" si="10"/>
        <v>51.26500121580889</v>
      </c>
      <c r="AE23" s="40">
        <f t="shared" si="2"/>
        <v>39.918463766159014</v>
      </c>
      <c r="AF23" s="40">
        <f t="shared" si="11"/>
        <v>51.15096910591266</v>
      </c>
      <c r="AG23" s="40">
        <f t="shared" si="12"/>
        <v>50.030002431617774</v>
      </c>
      <c r="AH23" s="48">
        <f t="shared" si="3"/>
        <v>60</v>
      </c>
      <c r="AI23" s="48">
        <f t="shared" si="4"/>
        <v>60</v>
      </c>
      <c r="AJ23" s="40">
        <f t="shared" si="13"/>
        <v>837.4797957441069</v>
      </c>
      <c r="AK23" s="40">
        <f t="shared" si="14"/>
        <v>84</v>
      </c>
      <c r="AL23" s="40">
        <f t="shared" si="15"/>
        <v>-100000</v>
      </c>
      <c r="AM23" s="40">
        <f t="shared" si="5"/>
        <v>51.188765527462344</v>
      </c>
      <c r="AN23" s="40">
        <f t="shared" si="16"/>
        <v>743.3185951033367</v>
      </c>
      <c r="AO23" s="40">
        <f t="shared" si="17"/>
        <v>84</v>
      </c>
      <c r="AP23" s="40">
        <f t="shared" si="18"/>
        <v>-100000</v>
      </c>
      <c r="AQ23" s="40">
        <f t="shared" si="6"/>
        <v>50.96370140372067</v>
      </c>
      <c r="AR23" s="40">
        <f t="shared" si="7"/>
        <v>16.799999999999997</v>
      </c>
      <c r="AS23" s="41">
        <f t="shared" si="8"/>
        <v>60</v>
      </c>
      <c r="AT23" s="36"/>
      <c r="AU23" s="28"/>
      <c r="AV23" s="31"/>
      <c r="AW23" s="24"/>
      <c r="AX23" s="24"/>
      <c r="AY23" s="25"/>
      <c r="AZ23" s="25"/>
      <c r="BA23" s="25"/>
      <c r="BB23" s="25"/>
      <c r="BC23" s="25"/>
      <c r="BD23" s="25"/>
    </row>
    <row r="24" spans="1:56" s="2" customFormat="1" ht="13.5"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9">
        <f t="shared" si="9"/>
        <v>88</v>
      </c>
      <c r="AB24" s="40">
        <f t="shared" si="0"/>
        <v>4410.156928453738</v>
      </c>
      <c r="AC24" s="40">
        <f t="shared" si="1"/>
        <v>4464.0794676137075</v>
      </c>
      <c r="AD24" s="40">
        <f t="shared" si="10"/>
        <v>52.557709820759875</v>
      </c>
      <c r="AE24" s="40">
        <f t="shared" si="2"/>
        <v>43.810740278505584</v>
      </c>
      <c r="AF24" s="40">
        <f t="shared" si="11"/>
        <v>50.72817576833759</v>
      </c>
      <c r="AG24" s="40">
        <f t="shared" si="12"/>
        <v>50.115419641519736</v>
      </c>
      <c r="AH24" s="48">
        <f t="shared" si="3"/>
        <v>60</v>
      </c>
      <c r="AI24" s="48">
        <f t="shared" si="4"/>
        <v>60</v>
      </c>
      <c r="AJ24" s="40">
        <f t="shared" si="13"/>
        <v>869.8430715462632</v>
      </c>
      <c r="AK24" s="40">
        <f t="shared" si="14"/>
        <v>88</v>
      </c>
      <c r="AL24" s="40">
        <f t="shared" si="15"/>
        <v>-100000</v>
      </c>
      <c r="AM24" s="40">
        <f t="shared" si="5"/>
        <v>51.188765527462344</v>
      </c>
      <c r="AN24" s="40">
        <f t="shared" si="16"/>
        <v>815.9205323862918</v>
      </c>
      <c r="AO24" s="40">
        <f t="shared" si="17"/>
        <v>88</v>
      </c>
      <c r="AP24" s="40">
        <f t="shared" si="18"/>
        <v>-100000</v>
      </c>
      <c r="AQ24" s="40">
        <f t="shared" si="6"/>
        <v>50.96370140372067</v>
      </c>
      <c r="AR24" s="40">
        <f t="shared" si="7"/>
        <v>16.799999999999997</v>
      </c>
      <c r="AS24" s="41">
        <f t="shared" si="8"/>
        <v>60</v>
      </c>
      <c r="AT24" s="36"/>
      <c r="AU24" s="28">
        <f>AV$1*A100^2+AV$2*A100^0.5</f>
        <v>9744.367132317184</v>
      </c>
      <c r="AV24" s="31">
        <f>AV$6*A100^3+AV$7</f>
        <v>12120.70030306383</v>
      </c>
      <c r="AW24" s="24"/>
      <c r="AX24" s="24"/>
      <c r="AY24" s="25"/>
      <c r="AZ24" s="25"/>
      <c r="BA24" s="25"/>
      <c r="BB24" s="25"/>
      <c r="BC24" s="25"/>
      <c r="BD24" s="25"/>
    </row>
    <row r="25" spans="1:56" s="2" customFormat="1" ht="13.5" customHeight="1">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9">
        <f t="shared" si="9"/>
        <v>92</v>
      </c>
      <c r="AB25" s="40">
        <f t="shared" si="0"/>
        <v>4623.014745270295</v>
      </c>
      <c r="AC25" s="40">
        <f t="shared" si="1"/>
        <v>4647.408708613845</v>
      </c>
      <c r="AD25" s="40">
        <f t="shared" si="10"/>
        <v>53.875080137338564</v>
      </c>
      <c r="AE25" s="40">
        <f t="shared" si="2"/>
        <v>47.88405290770548</v>
      </c>
      <c r="AF25" s="40">
        <f t="shared" si="11"/>
        <v>50.5153120501505</v>
      </c>
      <c r="AG25" s="40">
        <f t="shared" si="12"/>
        <v>50.25016027467713</v>
      </c>
      <c r="AH25" s="48">
        <f t="shared" si="3"/>
        <v>60</v>
      </c>
      <c r="AI25" s="48">
        <f t="shared" si="4"/>
        <v>60</v>
      </c>
      <c r="AJ25" s="40">
        <f t="shared" si="13"/>
        <v>896.9852547297041</v>
      </c>
      <c r="AK25" s="40">
        <f t="shared" si="14"/>
        <v>92</v>
      </c>
      <c r="AL25" s="40">
        <f t="shared" si="15"/>
        <v>-100000</v>
      </c>
      <c r="AM25" s="40">
        <f t="shared" si="5"/>
        <v>51.188765527462344</v>
      </c>
      <c r="AN25" s="40">
        <f t="shared" si="16"/>
        <v>872.5912913861541</v>
      </c>
      <c r="AO25" s="40">
        <f t="shared" si="17"/>
        <v>92</v>
      </c>
      <c r="AP25" s="40">
        <f t="shared" si="18"/>
        <v>-100000</v>
      </c>
      <c r="AQ25" s="40">
        <f t="shared" si="6"/>
        <v>50.96370140372067</v>
      </c>
      <c r="AR25" s="40">
        <f t="shared" si="7"/>
        <v>16.799999999999997</v>
      </c>
      <c r="AS25" s="41">
        <f t="shared" si="8"/>
        <v>60</v>
      </c>
      <c r="AT25" s="36"/>
      <c r="AU25" s="25"/>
      <c r="AV25" s="25"/>
      <c r="AW25" s="25"/>
      <c r="AX25" s="25"/>
      <c r="AY25" s="25"/>
      <c r="AZ25" s="25"/>
      <c r="BA25" s="25"/>
      <c r="BB25" s="25"/>
      <c r="BC25" s="25"/>
      <c r="BD25" s="25"/>
    </row>
    <row r="26" spans="1:56" s="2" customFormat="1" ht="13.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9">
        <f t="shared" si="9"/>
        <v>96</v>
      </c>
      <c r="AB26" s="40">
        <f t="shared" si="0"/>
        <v>4841.1869733608855</v>
      </c>
      <c r="AC26" s="40">
        <f t="shared" si="1"/>
        <v>4847.393272364489</v>
      </c>
      <c r="AD26" s="40">
        <f t="shared" si="10"/>
        <v>55.21451548625461</v>
      </c>
      <c r="AE26" s="40">
        <f t="shared" si="2"/>
        <v>52.138401653758706</v>
      </c>
      <c r="AF26" s="40">
        <f t="shared" si="11"/>
        <v>50.49367992046343</v>
      </c>
      <c r="AG26" s="40">
        <f t="shared" si="12"/>
        <v>50.42903097250923</v>
      </c>
      <c r="AH26" s="48">
        <f t="shared" si="3"/>
        <v>60</v>
      </c>
      <c r="AI26" s="48">
        <f t="shared" si="4"/>
        <v>60</v>
      </c>
      <c r="AJ26" s="40">
        <f t="shared" si="13"/>
        <v>918.8130266391138</v>
      </c>
      <c r="AK26" s="40">
        <f t="shared" si="14"/>
        <v>96</v>
      </c>
      <c r="AL26" s="40">
        <f t="shared" si="15"/>
        <v>-100000</v>
      </c>
      <c r="AM26" s="40">
        <f t="shared" si="5"/>
        <v>51.188765527462344</v>
      </c>
      <c r="AN26" s="40">
        <f t="shared" si="16"/>
        <v>912.6067276355109</v>
      </c>
      <c r="AO26" s="40">
        <f t="shared" si="17"/>
        <v>96</v>
      </c>
      <c r="AP26" s="40">
        <f t="shared" si="18"/>
        <v>-100000</v>
      </c>
      <c r="AQ26" s="40">
        <f t="shared" si="6"/>
        <v>50.96370140372067</v>
      </c>
      <c r="AR26" s="40">
        <f t="shared" si="7"/>
        <v>16.799999999999997</v>
      </c>
      <c r="AS26" s="41">
        <f t="shared" si="8"/>
        <v>60</v>
      </c>
      <c r="AT26" s="36"/>
      <c r="AU26" s="25"/>
      <c r="AV26" s="25"/>
      <c r="AW26" s="25"/>
      <c r="AX26" s="25"/>
      <c r="AY26" s="25"/>
      <c r="AZ26" s="25"/>
      <c r="BA26" s="25"/>
      <c r="BB26" s="25"/>
      <c r="BC26" s="25"/>
      <c r="BD26" s="25"/>
    </row>
    <row r="27" spans="1:56" s="2" customFormat="1" ht="13.5"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9">
        <f t="shared" si="9"/>
        <v>100</v>
      </c>
      <c r="AB27" s="40">
        <f t="shared" si="0"/>
        <v>5064.757303333053</v>
      </c>
      <c r="AC27" s="40">
        <f t="shared" si="1"/>
        <v>5064.757303333053</v>
      </c>
      <c r="AD27" s="40">
        <f t="shared" si="10"/>
        <v>56.573786516665265</v>
      </c>
      <c r="AE27" s="40">
        <f t="shared" si="2"/>
        <v>56.573786516665265</v>
      </c>
      <c r="AF27" s="40">
        <f t="shared" si="11"/>
        <v>50.64757303333053</v>
      </c>
      <c r="AG27" s="40">
        <f t="shared" si="12"/>
        <v>50.64757303333053</v>
      </c>
      <c r="AH27" s="48">
        <f t="shared" si="3"/>
        <v>60</v>
      </c>
      <c r="AI27" s="48">
        <f t="shared" si="4"/>
        <v>60</v>
      </c>
      <c r="AJ27" s="40">
        <f t="shared" si="13"/>
        <v>935.2426966669469</v>
      </c>
      <c r="AK27" s="40">
        <f t="shared" si="14"/>
        <v>100</v>
      </c>
      <c r="AL27" s="40">
        <f t="shared" si="15"/>
        <v>-100000</v>
      </c>
      <c r="AM27" s="40">
        <f t="shared" si="5"/>
        <v>51.188765527462344</v>
      </c>
      <c r="AN27" s="40">
        <f t="shared" si="16"/>
        <v>935.2426966669469</v>
      </c>
      <c r="AO27" s="40">
        <f t="shared" si="17"/>
        <v>100</v>
      </c>
      <c r="AP27" s="40">
        <f t="shared" si="18"/>
        <v>-100000</v>
      </c>
      <c r="AQ27" s="40">
        <f t="shared" si="6"/>
        <v>50.96370140372067</v>
      </c>
      <c r="AR27" s="40">
        <f t="shared" si="7"/>
        <v>16.799999999999997</v>
      </c>
      <c r="AS27" s="41">
        <f t="shared" si="8"/>
        <v>60</v>
      </c>
      <c r="AT27" s="36"/>
      <c r="AU27" s="25"/>
      <c r="AV27" s="25"/>
      <c r="AW27" s="25"/>
      <c r="AX27" s="25"/>
      <c r="AY27" s="25"/>
      <c r="AZ27" s="25"/>
      <c r="BA27" s="25"/>
      <c r="BB27" s="25"/>
      <c r="BC27" s="25"/>
      <c r="BD27" s="25"/>
    </row>
    <row r="28" spans="1:56" s="2" customFormat="1" ht="13.5"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9">
        <f t="shared" si="9"/>
        <v>104</v>
      </c>
      <c r="AB28" s="40">
        <f t="shared" si="0"/>
        <v>5293.801133597701</v>
      </c>
      <c r="AC28" s="40">
        <f t="shared" si="1"/>
        <v>5300.224945986949</v>
      </c>
      <c r="AD28" s="40">
        <f t="shared" si="10"/>
        <v>57.95096698845049</v>
      </c>
      <c r="AE28" s="40">
        <f t="shared" si="2"/>
        <v>61.19020749642515</v>
      </c>
      <c r="AF28" s="40">
        <f t="shared" si="11"/>
        <v>50.96370140372067</v>
      </c>
      <c r="AG28" s="40">
        <f t="shared" si="12"/>
        <v>50.90193397690098</v>
      </c>
      <c r="AH28" s="48">
        <f t="shared" si="3"/>
        <v>60</v>
      </c>
      <c r="AI28" s="48">
        <f t="shared" si="4"/>
        <v>60</v>
      </c>
      <c r="AJ28" s="40">
        <f t="shared" si="13"/>
        <v>946.1988664022983</v>
      </c>
      <c r="AK28" s="40">
        <f t="shared" si="14"/>
        <v>104</v>
      </c>
      <c r="AL28" s="40">
        <f t="shared" si="15"/>
        <v>-100000</v>
      </c>
      <c r="AM28" s="40">
        <f t="shared" si="5"/>
        <v>51.188765527462344</v>
      </c>
      <c r="AN28" s="40">
        <f t="shared" si="16"/>
        <v>939.7750540130503</v>
      </c>
      <c r="AO28" s="40">
        <f t="shared" si="17"/>
        <v>-10000</v>
      </c>
      <c r="AP28" s="40">
        <f t="shared" si="18"/>
        <v>104</v>
      </c>
      <c r="AQ28" s="40">
        <f t="shared" si="6"/>
        <v>50.96370140372067</v>
      </c>
      <c r="AR28" s="40">
        <f t="shared" si="7"/>
        <v>16.799999999999997</v>
      </c>
      <c r="AS28" s="41">
        <f t="shared" si="8"/>
        <v>60</v>
      </c>
      <c r="AT28" s="36"/>
      <c r="AU28" s="25"/>
      <c r="AV28" s="25"/>
      <c r="AW28" s="25"/>
      <c r="AX28" s="25"/>
      <c r="AY28" s="25"/>
      <c r="AZ28" s="25"/>
      <c r="BA28" s="25"/>
      <c r="BB28" s="25"/>
      <c r="BC28" s="25"/>
      <c r="BD28" s="25"/>
    </row>
    <row r="29" spans="1:56" s="2" customFormat="1" ht="13.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9">
        <f t="shared" si="9"/>
        <v>108</v>
      </c>
      <c r="AB29" s="40">
        <f t="shared" si="0"/>
        <v>5528.3866769659335</v>
      </c>
      <c r="AC29" s="40">
        <f t="shared" si="1"/>
        <v>5554.520344793592</v>
      </c>
      <c r="AD29" s="40">
        <f t="shared" si="10"/>
        <v>59.344382763731176</v>
      </c>
      <c r="AE29" s="40">
        <f t="shared" si="2"/>
        <v>65.98766459303836</v>
      </c>
      <c r="AF29" s="40">
        <f t="shared" si="11"/>
        <v>51.430743933274</v>
      </c>
      <c r="AG29" s="40">
        <f t="shared" si="12"/>
        <v>51.18876552746235</v>
      </c>
      <c r="AH29" s="48">
        <f t="shared" si="3"/>
        <v>60</v>
      </c>
      <c r="AI29" s="48">
        <f t="shared" si="4"/>
        <v>60</v>
      </c>
      <c r="AJ29" s="40">
        <f t="shared" si="13"/>
        <v>951.6133230340661</v>
      </c>
      <c r="AK29" s="40">
        <f t="shared" si="14"/>
        <v>-10000</v>
      </c>
      <c r="AL29" s="40">
        <f t="shared" si="15"/>
        <v>108</v>
      </c>
      <c r="AM29" s="40">
        <f t="shared" si="5"/>
        <v>51.188765527462344</v>
      </c>
      <c r="AN29" s="40">
        <f t="shared" si="16"/>
        <v>925.4796552064079</v>
      </c>
      <c r="AO29" s="40">
        <f t="shared" si="17"/>
        <v>108</v>
      </c>
      <c r="AP29" s="40">
        <f t="shared" si="18"/>
        <v>-100000</v>
      </c>
      <c r="AQ29" s="40">
        <f t="shared" si="6"/>
        <v>-100000</v>
      </c>
      <c r="AR29" s="40">
        <f t="shared" si="7"/>
        <v>16.799999999999997</v>
      </c>
      <c r="AS29" s="41">
        <f t="shared" si="8"/>
        <v>-100000</v>
      </c>
      <c r="AT29" s="36"/>
      <c r="AU29" s="25"/>
      <c r="AV29" s="25"/>
      <c r="AW29" s="25"/>
      <c r="AX29" s="25"/>
      <c r="AY29" s="25"/>
      <c r="AZ29" s="25"/>
      <c r="BA29" s="25"/>
      <c r="BB29" s="25"/>
      <c r="BC29" s="25"/>
      <c r="BD29" s="25"/>
    </row>
    <row r="30" spans="1:56" s="2" customFormat="1" ht="13.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9">
        <f t="shared" si="9"/>
        <v>112</v>
      </c>
      <c r="AB30" s="40">
        <f t="shared" si="0"/>
        <v>5768.5758843197955</v>
      </c>
      <c r="AC30" s="40">
        <f t="shared" si="1"/>
        <v>5828.367644220394</v>
      </c>
      <c r="AD30" s="40">
        <f t="shared" si="10"/>
        <v>60.75257091214195</v>
      </c>
      <c r="AE30" s="40">
        <f t="shared" si="2"/>
        <v>70.96615780650491</v>
      </c>
      <c r="AF30" s="40">
        <f t="shared" si="11"/>
        <v>52.038996823396374</v>
      </c>
      <c r="AG30" s="40">
        <f t="shared" si="12"/>
        <v>51.50514182428388</v>
      </c>
      <c r="AH30" s="48">
        <f t="shared" si="3"/>
        <v>60</v>
      </c>
      <c r="AI30" s="48">
        <f t="shared" si="4"/>
        <v>60</v>
      </c>
      <c r="AJ30" s="40">
        <f t="shared" si="13"/>
        <v>951.4241156802052</v>
      </c>
      <c r="AK30" s="40">
        <f t="shared" si="14"/>
        <v>112</v>
      </c>
      <c r="AL30" s="40">
        <f t="shared" si="15"/>
        <v>-100000</v>
      </c>
      <c r="AM30" s="40">
        <f t="shared" si="5"/>
        <v>-100000</v>
      </c>
      <c r="AN30" s="40">
        <f t="shared" si="16"/>
        <v>891.6323557796061</v>
      </c>
      <c r="AO30" s="40">
        <f t="shared" si="17"/>
        <v>112</v>
      </c>
      <c r="AP30" s="40">
        <f t="shared" si="18"/>
        <v>-100000</v>
      </c>
      <c r="AQ30" s="40">
        <f t="shared" si="6"/>
        <v>-100000</v>
      </c>
      <c r="AR30" s="40">
        <f t="shared" si="7"/>
        <v>-100000</v>
      </c>
      <c r="AS30" s="41">
        <f t="shared" si="8"/>
        <v>-100000</v>
      </c>
      <c r="AT30" s="36"/>
      <c r="AU30" s="25"/>
      <c r="AV30" s="25"/>
      <c r="AW30" s="25"/>
      <c r="AX30" s="25"/>
      <c r="AY30" s="25"/>
      <c r="AZ30" s="25"/>
      <c r="BA30" s="25"/>
      <c r="BB30" s="25"/>
      <c r="BC30" s="25"/>
      <c r="BD30" s="25"/>
    </row>
    <row r="31" spans="1:56" s="2" customFormat="1" ht="13.5" customHeight="1">
      <c r="A31" s="36"/>
      <c r="B31" s="36"/>
      <c r="C31" s="36"/>
      <c r="D31" s="36"/>
      <c r="E31" s="36"/>
      <c r="F31" s="36"/>
      <c r="G31" s="36"/>
      <c r="H31" s="36"/>
      <c r="I31" s="35"/>
      <c r="J31" s="36"/>
      <c r="K31" s="36"/>
      <c r="L31" s="36"/>
      <c r="M31" s="36"/>
      <c r="N31" s="36"/>
      <c r="O31" s="36"/>
      <c r="P31" s="36"/>
      <c r="Q31" s="36"/>
      <c r="R31" s="36"/>
      <c r="S31" s="36"/>
      <c r="T31" s="36"/>
      <c r="U31" s="36"/>
      <c r="V31" s="36"/>
      <c r="W31" s="36"/>
      <c r="X31" s="36"/>
      <c r="Y31" s="36"/>
      <c r="Z31" s="36"/>
      <c r="AA31" s="39">
        <f t="shared" si="9"/>
        <v>116</v>
      </c>
      <c r="AB31" s="40">
        <f t="shared" si="0"/>
        <v>6014.425221011279</v>
      </c>
      <c r="AC31" s="40">
        <f t="shared" si="1"/>
        <v>6122.490988734769</v>
      </c>
      <c r="AD31" s="40">
        <f t="shared" si="10"/>
        <v>62.174246642289994</v>
      </c>
      <c r="AE31" s="40">
        <f t="shared" si="2"/>
        <v>76.12568713682478</v>
      </c>
      <c r="AF31" s="40">
        <f t="shared" si="11"/>
        <v>52.78009473047214</v>
      </c>
      <c r="AG31" s="40">
        <f t="shared" si="12"/>
        <v>51.84849328457999</v>
      </c>
      <c r="AH31" s="48">
        <f t="shared" si="3"/>
        <v>60</v>
      </c>
      <c r="AI31" s="48">
        <f t="shared" si="4"/>
        <v>60</v>
      </c>
      <c r="AJ31" s="40">
        <f t="shared" si="13"/>
        <v>945.5747789887214</v>
      </c>
      <c r="AK31" s="40">
        <f t="shared" si="14"/>
        <v>116</v>
      </c>
      <c r="AL31" s="40">
        <f t="shared" si="15"/>
        <v>-100000</v>
      </c>
      <c r="AM31" s="40">
        <f t="shared" si="5"/>
        <v>-100000</v>
      </c>
      <c r="AN31" s="40">
        <f t="shared" si="16"/>
        <v>837.5090112652314</v>
      </c>
      <c r="AO31" s="40">
        <f t="shared" si="17"/>
        <v>116</v>
      </c>
      <c r="AP31" s="40">
        <f t="shared" si="18"/>
        <v>-100000</v>
      </c>
      <c r="AQ31" s="40">
        <f t="shared" si="6"/>
        <v>-100000</v>
      </c>
      <c r="AR31" s="40">
        <f t="shared" si="7"/>
        <v>-100000</v>
      </c>
      <c r="AS31" s="41">
        <f t="shared" si="8"/>
        <v>-100000</v>
      </c>
      <c r="AT31" s="36"/>
      <c r="AU31" s="25"/>
      <c r="AV31" s="25"/>
      <c r="AW31" s="25"/>
      <c r="AX31" s="25"/>
      <c r="AY31" s="25"/>
      <c r="AZ31" s="25"/>
      <c r="BA31" s="25"/>
      <c r="BB31" s="25"/>
      <c r="BC31" s="25"/>
      <c r="BD31" s="25"/>
    </row>
    <row r="32" spans="1:56" s="2" customFormat="1" ht="13.5" customHeight="1">
      <c r="A32" s="36"/>
      <c r="B32" s="36"/>
      <c r="C32" s="36"/>
      <c r="D32" s="36"/>
      <c r="E32" s="36"/>
      <c r="F32" s="36"/>
      <c r="G32" s="36"/>
      <c r="H32" s="36"/>
      <c r="I32" s="35"/>
      <c r="J32" s="36"/>
      <c r="K32" s="36"/>
      <c r="L32" s="36"/>
      <c r="M32" s="36"/>
      <c r="N32" s="36"/>
      <c r="O32" s="36"/>
      <c r="P32" s="36"/>
      <c r="Q32" s="36"/>
      <c r="R32" s="36"/>
      <c r="S32" s="36"/>
      <c r="T32" s="36"/>
      <c r="U32" s="36"/>
      <c r="V32" s="36"/>
      <c r="W32" s="36"/>
      <c r="X32" s="36"/>
      <c r="Y32" s="36"/>
      <c r="Z32" s="36"/>
      <c r="AA32" s="39">
        <f t="shared" si="9"/>
        <v>120</v>
      </c>
      <c r="AB32" s="40">
        <f t="shared" si="0"/>
        <v>6265.986323710904</v>
      </c>
      <c r="AC32" s="40">
        <f t="shared" si="1"/>
        <v>6437.61452280413</v>
      </c>
      <c r="AD32" s="40">
        <f t="shared" si="10"/>
        <v>63.60827634879543</v>
      </c>
      <c r="AE32" s="40">
        <f t="shared" si="2"/>
        <v>81.46625258399798</v>
      </c>
      <c r="AF32" s="40">
        <f t="shared" si="11"/>
        <v>53.646787690034415</v>
      </c>
      <c r="AG32" s="40">
        <f t="shared" si="12"/>
        <v>52.21655269759086</v>
      </c>
      <c r="AH32" s="48">
        <f t="shared" si="3"/>
        <v>60</v>
      </c>
      <c r="AI32" s="48">
        <f t="shared" si="4"/>
        <v>60</v>
      </c>
      <c r="AJ32" s="40">
        <f t="shared" si="13"/>
        <v>934.0136762890963</v>
      </c>
      <c r="AK32" s="40">
        <f t="shared" si="14"/>
        <v>120</v>
      </c>
      <c r="AL32" s="40">
        <f t="shared" si="15"/>
        <v>-100000</v>
      </c>
      <c r="AM32" s="40">
        <f t="shared" si="5"/>
        <v>-100000</v>
      </c>
      <c r="AN32" s="40">
        <f t="shared" si="16"/>
        <v>762.3854771958702</v>
      </c>
      <c r="AO32" s="40">
        <f t="shared" si="17"/>
        <v>120</v>
      </c>
      <c r="AP32" s="40">
        <f t="shared" si="18"/>
        <v>-100000</v>
      </c>
      <c r="AQ32" s="40">
        <f t="shared" si="6"/>
        <v>-100000</v>
      </c>
      <c r="AR32" s="40">
        <f t="shared" si="7"/>
        <v>-100000</v>
      </c>
      <c r="AS32" s="41">
        <f t="shared" si="8"/>
        <v>-100000</v>
      </c>
      <c r="AT32" s="36"/>
      <c r="AU32" s="25"/>
      <c r="AV32" s="25"/>
      <c r="AW32" s="25"/>
      <c r="AX32" s="25"/>
      <c r="AY32" s="25"/>
      <c r="AZ32" s="25"/>
      <c r="BA32" s="25"/>
      <c r="BB32" s="25"/>
      <c r="BC32" s="25"/>
      <c r="BD32" s="25"/>
    </row>
    <row r="33" spans="1:56" s="2" customFormat="1" ht="13.5"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9">
        <f t="shared" si="9"/>
        <v>124</v>
      </c>
      <c r="AB33" s="40">
        <f t="shared" si="0"/>
        <v>6523.306559463661</v>
      </c>
      <c r="AC33" s="40">
        <f t="shared" si="1"/>
        <v>6774.462390895891</v>
      </c>
      <c r="AD33" s="40">
        <f t="shared" si="10"/>
        <v>65.05365548170832</v>
      </c>
      <c r="AE33" s="40">
        <f t="shared" si="2"/>
        <v>86.98785414802451</v>
      </c>
      <c r="AF33" s="40">
        <f t="shared" si="11"/>
        <v>54.63276121690234</v>
      </c>
      <c r="AG33" s="40">
        <f t="shared" si="12"/>
        <v>52.60731096341663</v>
      </c>
      <c r="AH33" s="48">
        <f t="shared" si="3"/>
        <v>60</v>
      </c>
      <c r="AI33" s="48">
        <f t="shared" si="4"/>
        <v>60</v>
      </c>
      <c r="AJ33" s="40">
        <f t="shared" si="13"/>
        <v>916.6934405363379</v>
      </c>
      <c r="AK33" s="40">
        <f t="shared" si="14"/>
        <v>124</v>
      </c>
      <c r="AL33" s="40">
        <f t="shared" si="15"/>
        <v>-100000</v>
      </c>
      <c r="AM33" s="40">
        <f t="shared" si="5"/>
        <v>-100000</v>
      </c>
      <c r="AN33" s="40">
        <f t="shared" si="16"/>
        <v>665.5376091041101</v>
      </c>
      <c r="AO33" s="40">
        <f t="shared" si="17"/>
        <v>124</v>
      </c>
      <c r="AP33" s="40">
        <f t="shared" si="18"/>
        <v>-100000</v>
      </c>
      <c r="AQ33" s="40">
        <f t="shared" si="6"/>
        <v>-100000</v>
      </c>
      <c r="AR33" s="40">
        <f t="shared" si="7"/>
        <v>-100000</v>
      </c>
      <c r="AS33" s="41">
        <f t="shared" si="8"/>
        <v>-100000</v>
      </c>
      <c r="AT33" s="36"/>
      <c r="AU33" s="25"/>
      <c r="AV33" s="25"/>
      <c r="AW33" s="25"/>
      <c r="AX33" s="25"/>
      <c r="AY33" s="25"/>
      <c r="AZ33" s="25"/>
      <c r="BA33" s="25"/>
      <c r="BB33" s="25"/>
      <c r="BC33" s="25"/>
      <c r="BD33" s="25"/>
    </row>
    <row r="34" spans="1:56" s="2" customFormat="1" ht="13.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9">
        <f t="shared" si="9"/>
        <v>128</v>
      </c>
      <c r="AB34" s="40">
        <f aca="true" t="shared" si="19" ref="AB34:AB55">AV$1*AA34^2+AV$2*AA34^0.5</f>
        <v>6786.429504179605</v>
      </c>
      <c r="AC34" s="40">
        <f aca="true" t="shared" si="20" ref="AC34:AC55">AV$6*AA34^3+AV$7</f>
        <v>7133.758737477464</v>
      </c>
      <c r="AD34" s="40">
        <f t="shared" si="10"/>
        <v>66.50949025070157</v>
      </c>
      <c r="AE34" s="40">
        <f aca="true" t="shared" si="21" ref="AE34:AE55">3*AV$6*AA34^2</f>
        <v>92.69049182890437</v>
      </c>
      <c r="AF34" s="40">
        <f t="shared" si="11"/>
        <v>55.73249013654269</v>
      </c>
      <c r="AG34" s="40">
        <f t="shared" si="12"/>
        <v>53.018980501403156</v>
      </c>
      <c r="AH34" s="48">
        <f aca="true" t="shared" si="22" ref="AH34:AH55">$C$6-0</f>
        <v>60</v>
      </c>
      <c r="AI34" s="48">
        <f aca="true" t="shared" si="23" ref="AI34:AI55">$C$6</f>
        <v>60</v>
      </c>
      <c r="AJ34" s="40">
        <f t="shared" si="13"/>
        <v>893.570495820396</v>
      </c>
      <c r="AK34" s="40">
        <f t="shared" si="14"/>
        <v>128</v>
      </c>
      <c r="AL34" s="40">
        <f t="shared" si="15"/>
        <v>-100000</v>
      </c>
      <c r="AM34" s="40">
        <f aca="true" t="shared" si="24" ref="AM34:AM55">IF(AA34&lt;=C$15,C$16,-100000)</f>
        <v>-100000</v>
      </c>
      <c r="AN34" s="40">
        <f t="shared" si="16"/>
        <v>546.2412625225361</v>
      </c>
      <c r="AO34" s="40">
        <f t="shared" si="17"/>
        <v>128</v>
      </c>
      <c r="AP34" s="40">
        <f t="shared" si="18"/>
        <v>-100000</v>
      </c>
      <c r="AQ34" s="40">
        <f aca="true" t="shared" si="25" ref="AQ34:AQ55">IF(AA34&lt;=C$11,C$12,-100000)</f>
        <v>-100000</v>
      </c>
      <c r="AR34" s="40">
        <f aca="true" t="shared" si="26" ref="AR34:AR55">IF(AM34&gt;0,C$18,-100000)</f>
        <v>-100000</v>
      </c>
      <c r="AS34" s="41">
        <f aca="true" t="shared" si="27" ref="AS34:AS55">IF(AQ34&gt;0,C$6,-100000)</f>
        <v>-100000</v>
      </c>
      <c r="AT34" s="36"/>
      <c r="AU34" s="25"/>
      <c r="AV34" s="25"/>
      <c r="AW34" s="25"/>
      <c r="AX34" s="25"/>
      <c r="AY34" s="25"/>
      <c r="AZ34" s="25"/>
      <c r="BA34" s="25"/>
      <c r="BB34" s="25"/>
      <c r="BC34" s="25"/>
      <c r="BD34" s="25"/>
    </row>
    <row r="35" spans="1:56" s="2" customFormat="1" ht="13.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9">
        <f aca="true" t="shared" si="28" ref="AA35:AA55">AA34+$C$7</f>
        <v>132</v>
      </c>
      <c r="AB35" s="40">
        <f t="shared" si="19"/>
        <v>7055.395354310701</v>
      </c>
      <c r="AC35" s="40">
        <f t="shared" si="20"/>
        <v>7516.227707016264</v>
      </c>
      <c r="AD35" s="40">
        <f aca="true" t="shared" si="29" ref="AD35:AD55">2*AV$1*AA35+0.5*AV$2*AA35^-0.5</f>
        <v>67.97498240269205</v>
      </c>
      <c r="AE35" s="40">
        <f t="shared" si="21"/>
        <v>98.57416562663755</v>
      </c>
      <c r="AF35" s="40">
        <f aca="true" t="shared" si="30" ref="AF35:AF55">AV$6*AA35^2+AV$7/AA35</f>
        <v>56.941118992547445</v>
      </c>
      <c r="AG35" s="40">
        <f aca="true" t="shared" si="31" ref="AG35:AG55">AV$1*AA35+AV$2*AA35^-0.5</f>
        <v>53.4499648053841</v>
      </c>
      <c r="AH35" s="48">
        <f t="shared" si="22"/>
        <v>60</v>
      </c>
      <c r="AI35" s="48">
        <f t="shared" si="23"/>
        <v>60</v>
      </c>
      <c r="AJ35" s="40">
        <f aca="true" t="shared" si="32" ref="AJ35:AJ55">(AH35-AG35)*AA35</f>
        <v>864.604645689299</v>
      </c>
      <c r="AK35" s="40">
        <f aca="true" t="shared" si="33" ref="AK35:AK55">IF(AJ35=AJ$56,-10000,AA35)</f>
        <v>132</v>
      </c>
      <c r="AL35" s="40">
        <f aca="true" t="shared" si="34" ref="AL35:AL55">IF(AK35&gt;0,-100000,AA35)</f>
        <v>-100000</v>
      </c>
      <c r="AM35" s="40">
        <f t="shared" si="24"/>
        <v>-100000</v>
      </c>
      <c r="AN35" s="40">
        <f aca="true" t="shared" si="35" ref="AN35:AN55">(AH35-AF35)*AA35</f>
        <v>403.7722929837373</v>
      </c>
      <c r="AO35" s="40">
        <f aca="true" t="shared" si="36" ref="AO35:AO55">IF(AN35=AN$56,-10000,AA35)</f>
        <v>132</v>
      </c>
      <c r="AP35" s="40">
        <f aca="true" t="shared" si="37" ref="AP35:AP55">IF(AO35&gt;0,-100000,AA35)</f>
        <v>-100000</v>
      </c>
      <c r="AQ35" s="40">
        <f t="shared" si="25"/>
        <v>-100000</v>
      </c>
      <c r="AR35" s="40">
        <f t="shared" si="26"/>
        <v>-100000</v>
      </c>
      <c r="AS35" s="41">
        <f t="shared" si="27"/>
        <v>-100000</v>
      </c>
      <c r="AT35" s="36"/>
      <c r="AU35" s="25"/>
      <c r="AV35" s="25"/>
      <c r="AW35" s="25"/>
      <c r="AX35" s="25"/>
      <c r="AY35" s="25"/>
      <c r="AZ35" s="25"/>
      <c r="BA35" s="25"/>
      <c r="BB35" s="25"/>
      <c r="BC35" s="25"/>
      <c r="BD35" s="25"/>
    </row>
    <row r="36" spans="1:56" s="2" customFormat="1" ht="13.5"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9">
        <f t="shared" si="28"/>
        <v>136</v>
      </c>
      <c r="AB36" s="40">
        <f t="shared" si="19"/>
        <v>7330.241282774747</v>
      </c>
      <c r="AC36" s="40">
        <f t="shared" si="20"/>
        <v>7922.593443979702</v>
      </c>
      <c r="AD36" s="40">
        <f t="shared" si="29"/>
        <v>69.44941648078951</v>
      </c>
      <c r="AE36" s="40">
        <f t="shared" si="21"/>
        <v>104.63887554122408</v>
      </c>
      <c r="AF36" s="40">
        <f t="shared" si="30"/>
        <v>58.254363558674285</v>
      </c>
      <c r="AG36" s="40">
        <f t="shared" si="31"/>
        <v>53.89883296157901</v>
      </c>
      <c r="AH36" s="48">
        <f t="shared" si="22"/>
        <v>60</v>
      </c>
      <c r="AI36" s="48">
        <f t="shared" si="23"/>
        <v>60</v>
      </c>
      <c r="AJ36" s="40">
        <f t="shared" si="32"/>
        <v>829.7587172252545</v>
      </c>
      <c r="AK36" s="40">
        <f t="shared" si="33"/>
        <v>136</v>
      </c>
      <c r="AL36" s="40">
        <f t="shared" si="34"/>
        <v>-100000</v>
      </c>
      <c r="AM36" s="40">
        <f t="shared" si="24"/>
        <v>-100000</v>
      </c>
      <c r="AN36" s="40">
        <f t="shared" si="35"/>
        <v>237.40655602029722</v>
      </c>
      <c r="AO36" s="40">
        <f t="shared" si="36"/>
        <v>136</v>
      </c>
      <c r="AP36" s="40">
        <f t="shared" si="37"/>
        <v>-100000</v>
      </c>
      <c r="AQ36" s="40">
        <f t="shared" si="25"/>
        <v>-100000</v>
      </c>
      <c r="AR36" s="40">
        <f t="shared" si="26"/>
        <v>-100000</v>
      </c>
      <c r="AS36" s="41">
        <f t="shared" si="27"/>
        <v>-100000</v>
      </c>
      <c r="AT36" s="36"/>
      <c r="AU36" s="25"/>
      <c r="AV36" s="25"/>
      <c r="AW36" s="25"/>
      <c r="AX36" s="25"/>
      <c r="AY36" s="25"/>
      <c r="AZ36" s="25"/>
      <c r="BA36" s="25"/>
      <c r="BB36" s="25"/>
      <c r="BC36" s="25"/>
      <c r="BD36" s="25"/>
    </row>
    <row r="37" spans="1:56" s="2" customFormat="1" ht="13.5" customHeight="1">
      <c r="A37" s="35"/>
      <c r="B37" s="35"/>
      <c r="C37" s="35"/>
      <c r="D37" s="36"/>
      <c r="E37" s="36"/>
      <c r="F37" s="36"/>
      <c r="G37" s="36"/>
      <c r="H37" s="36"/>
      <c r="I37" s="36"/>
      <c r="J37" s="36"/>
      <c r="K37" s="36"/>
      <c r="L37" s="36"/>
      <c r="M37" s="36"/>
      <c r="N37" s="36"/>
      <c r="O37" s="36"/>
      <c r="P37" s="36"/>
      <c r="Q37" s="36"/>
      <c r="R37" s="36"/>
      <c r="S37" s="36"/>
      <c r="T37" s="36"/>
      <c r="U37" s="36"/>
      <c r="V37" s="36"/>
      <c r="W37" s="36"/>
      <c r="X37" s="36"/>
      <c r="Y37" s="36"/>
      <c r="Z37" s="36"/>
      <c r="AA37" s="39">
        <f t="shared" si="28"/>
        <v>140</v>
      </c>
      <c r="AB37" s="40">
        <f t="shared" si="19"/>
        <v>7611.001748086121</v>
      </c>
      <c r="AC37" s="40">
        <f t="shared" si="20"/>
        <v>8353.580092835193</v>
      </c>
      <c r="AD37" s="40">
        <f t="shared" si="29"/>
        <v>70.93214910030757</v>
      </c>
      <c r="AE37" s="40">
        <f t="shared" si="21"/>
        <v>110.88462157266392</v>
      </c>
      <c r="AF37" s="40">
        <f t="shared" si="30"/>
        <v>59.6684292345371</v>
      </c>
      <c r="AG37" s="40">
        <f t="shared" si="31"/>
        <v>54.364298200615146</v>
      </c>
      <c r="AH37" s="48">
        <f t="shared" si="22"/>
        <v>60</v>
      </c>
      <c r="AI37" s="48">
        <f t="shared" si="23"/>
        <v>60</v>
      </c>
      <c r="AJ37" s="40">
        <f t="shared" si="32"/>
        <v>788.9982519138796</v>
      </c>
      <c r="AK37" s="40">
        <f t="shared" si="33"/>
        <v>140</v>
      </c>
      <c r="AL37" s="40">
        <f t="shared" si="34"/>
        <v>-100000</v>
      </c>
      <c r="AM37" s="40">
        <f t="shared" si="24"/>
        <v>-100000</v>
      </c>
      <c r="AN37" s="40">
        <f t="shared" si="35"/>
        <v>46.41990716480592</v>
      </c>
      <c r="AO37" s="40">
        <f t="shared" si="36"/>
        <v>140</v>
      </c>
      <c r="AP37" s="40">
        <f t="shared" si="37"/>
        <v>-100000</v>
      </c>
      <c r="AQ37" s="40">
        <f t="shared" si="25"/>
        <v>-100000</v>
      </c>
      <c r="AR37" s="40">
        <f t="shared" si="26"/>
        <v>-100000</v>
      </c>
      <c r="AS37" s="41">
        <f t="shared" si="27"/>
        <v>-100000</v>
      </c>
      <c r="AT37" s="36"/>
      <c r="AU37" s="25"/>
      <c r="AV37" s="25"/>
      <c r="AW37" s="25"/>
      <c r="AX37" s="25"/>
      <c r="AY37" s="25"/>
      <c r="AZ37" s="25"/>
      <c r="BA37" s="25"/>
      <c r="BB37" s="25"/>
      <c r="BC37" s="25"/>
      <c r="BD37" s="25"/>
    </row>
    <row r="38" spans="1:56" s="2" customFormat="1" ht="13.5" customHeight="1">
      <c r="A38" s="35"/>
      <c r="B38" s="35"/>
      <c r="C38" s="35"/>
      <c r="D38" s="35"/>
      <c r="E38" s="35"/>
      <c r="F38" s="36"/>
      <c r="G38" s="36"/>
      <c r="H38" s="36"/>
      <c r="I38" s="36"/>
      <c r="J38" s="36"/>
      <c r="K38" s="36"/>
      <c r="L38" s="36"/>
      <c r="M38" s="36"/>
      <c r="N38" s="36"/>
      <c r="O38" s="36"/>
      <c r="P38" s="36"/>
      <c r="Q38" s="36"/>
      <c r="R38" s="36"/>
      <c r="S38" s="36"/>
      <c r="T38" s="36"/>
      <c r="U38" s="36"/>
      <c r="V38" s="36"/>
      <c r="W38" s="36"/>
      <c r="X38" s="36"/>
      <c r="Y38" s="36"/>
      <c r="Z38" s="36"/>
      <c r="AA38" s="39">
        <f t="shared" si="28"/>
        <v>144</v>
      </c>
      <c r="AB38" s="40">
        <f t="shared" si="19"/>
        <v>7897.7087639996635</v>
      </c>
      <c r="AC38" s="40">
        <f t="shared" si="20"/>
        <v>8809.91179805015</v>
      </c>
      <c r="AD38" s="40">
        <f t="shared" si="29"/>
        <v>72.42259987499884</v>
      </c>
      <c r="AE38" s="40">
        <f t="shared" si="21"/>
        <v>117.31140372095709</v>
      </c>
      <c r="AF38" s="40">
        <f t="shared" si="30"/>
        <v>61.17994304201494</v>
      </c>
      <c r="AG38" s="40">
        <f t="shared" si="31"/>
        <v>54.84519974999766</v>
      </c>
      <c r="AH38" s="48">
        <f t="shared" si="22"/>
        <v>60</v>
      </c>
      <c r="AI38" s="48">
        <f t="shared" si="23"/>
        <v>60</v>
      </c>
      <c r="AJ38" s="40">
        <f t="shared" si="32"/>
        <v>742.2912360003368</v>
      </c>
      <c r="AK38" s="40">
        <f t="shared" si="33"/>
        <v>144</v>
      </c>
      <c r="AL38" s="40">
        <f t="shared" si="34"/>
        <v>-100000</v>
      </c>
      <c r="AM38" s="40">
        <f t="shared" si="24"/>
        <v>-100000</v>
      </c>
      <c r="AN38" s="40">
        <f t="shared" si="35"/>
        <v>-169.91179805015145</v>
      </c>
      <c r="AO38" s="40">
        <f t="shared" si="36"/>
        <v>144</v>
      </c>
      <c r="AP38" s="40">
        <f t="shared" si="37"/>
        <v>-100000</v>
      </c>
      <c r="AQ38" s="40">
        <f t="shared" si="25"/>
        <v>-100000</v>
      </c>
      <c r="AR38" s="40">
        <f t="shared" si="26"/>
        <v>-100000</v>
      </c>
      <c r="AS38" s="41">
        <f t="shared" si="27"/>
        <v>-100000</v>
      </c>
      <c r="AT38" s="36"/>
      <c r="AU38" s="25"/>
      <c r="AV38" s="25"/>
      <c r="AW38" s="25"/>
      <c r="AX38" s="25"/>
      <c r="AY38" s="25"/>
      <c r="AZ38" s="25"/>
      <c r="BA38" s="25"/>
      <c r="BB38" s="25"/>
      <c r="BC38" s="25"/>
      <c r="BD38" s="25"/>
    </row>
    <row r="39" spans="1:56" s="2" customFormat="1" ht="13.5" customHeight="1">
      <c r="A39" s="35"/>
      <c r="B39" s="35"/>
      <c r="C39" s="35"/>
      <c r="D39" s="35"/>
      <c r="E39" s="35"/>
      <c r="F39" s="36"/>
      <c r="G39" s="36"/>
      <c r="H39" s="36"/>
      <c r="I39" s="36"/>
      <c r="J39" s="36"/>
      <c r="K39" s="36"/>
      <c r="L39" s="36"/>
      <c r="M39" s="36"/>
      <c r="N39" s="36"/>
      <c r="O39" s="36"/>
      <c r="P39" s="36"/>
      <c r="Q39" s="36"/>
      <c r="R39" s="36"/>
      <c r="S39" s="36"/>
      <c r="T39" s="36"/>
      <c r="U39" s="36"/>
      <c r="V39" s="36"/>
      <c r="W39" s="36"/>
      <c r="X39" s="36"/>
      <c r="Y39" s="36"/>
      <c r="Z39" s="36"/>
      <c r="AA39" s="39">
        <f t="shared" si="28"/>
        <v>148</v>
      </c>
      <c r="AB39" s="40">
        <f t="shared" si="19"/>
        <v>8190.392135662785</v>
      </c>
      <c r="AC39" s="40">
        <f t="shared" si="20"/>
        <v>9292.312704091988</v>
      </c>
      <c r="AD39" s="40">
        <f t="shared" si="29"/>
        <v>73.92024370156346</v>
      </c>
      <c r="AE39" s="40">
        <f t="shared" si="21"/>
        <v>123.9192219861036</v>
      </c>
      <c r="AF39" s="40">
        <f t="shared" si="30"/>
        <v>62.785896649270185</v>
      </c>
      <c r="AG39" s="40">
        <f t="shared" si="31"/>
        <v>55.34048740312693</v>
      </c>
      <c r="AH39" s="48">
        <f t="shared" si="22"/>
        <v>60</v>
      </c>
      <c r="AI39" s="48">
        <f t="shared" si="23"/>
        <v>60</v>
      </c>
      <c r="AJ39" s="40">
        <f t="shared" si="32"/>
        <v>689.6078643372146</v>
      </c>
      <c r="AK39" s="40">
        <f t="shared" si="33"/>
        <v>148</v>
      </c>
      <c r="AL39" s="40">
        <f t="shared" si="34"/>
        <v>-100000</v>
      </c>
      <c r="AM39" s="40">
        <f t="shared" si="24"/>
        <v>-100000</v>
      </c>
      <c r="AN39" s="40">
        <f t="shared" si="35"/>
        <v>-412.3127040919874</v>
      </c>
      <c r="AO39" s="40">
        <f t="shared" si="36"/>
        <v>148</v>
      </c>
      <c r="AP39" s="40">
        <f t="shared" si="37"/>
        <v>-100000</v>
      </c>
      <c r="AQ39" s="40">
        <f t="shared" si="25"/>
        <v>-100000</v>
      </c>
      <c r="AR39" s="40">
        <f t="shared" si="26"/>
        <v>-100000</v>
      </c>
      <c r="AS39" s="41">
        <f t="shared" si="27"/>
        <v>-100000</v>
      </c>
      <c r="AT39" s="36"/>
      <c r="AU39" s="25"/>
      <c r="AV39" s="25"/>
      <c r="AW39" s="25"/>
      <c r="AX39" s="25"/>
      <c r="AY39" s="25"/>
      <c r="AZ39" s="25"/>
      <c r="BA39" s="25"/>
      <c r="BB39" s="25"/>
      <c r="BC39" s="25"/>
      <c r="BD39" s="25"/>
    </row>
    <row r="40" spans="1:56" s="2" customFormat="1" ht="13.5" customHeight="1">
      <c r="A40" s="35"/>
      <c r="B40" s="35"/>
      <c r="C40" s="35"/>
      <c r="D40" s="35"/>
      <c r="E40" s="35"/>
      <c r="F40" s="36"/>
      <c r="G40" s="36"/>
      <c r="H40" s="36"/>
      <c r="I40" s="36"/>
      <c r="J40" s="36"/>
      <c r="K40" s="36"/>
      <c r="L40" s="36"/>
      <c r="M40" s="36"/>
      <c r="N40" s="36"/>
      <c r="O40" s="36"/>
      <c r="P40" s="36"/>
      <c r="Q40" s="36"/>
      <c r="R40" s="36"/>
      <c r="S40" s="36"/>
      <c r="T40" s="36"/>
      <c r="U40" s="36"/>
      <c r="V40" s="36"/>
      <c r="W40" s="36"/>
      <c r="X40" s="36"/>
      <c r="Y40" s="36"/>
      <c r="Z40" s="36"/>
      <c r="AA40" s="39">
        <f t="shared" si="28"/>
        <v>152</v>
      </c>
      <c r="AB40" s="40">
        <f t="shared" si="19"/>
        <v>8489.07966722406</v>
      </c>
      <c r="AC40" s="40">
        <f t="shared" si="20"/>
        <v>9801.506955428118</v>
      </c>
      <c r="AD40" s="40">
        <f t="shared" si="29"/>
        <v>75.4246041685002</v>
      </c>
      <c r="AE40" s="40">
        <f t="shared" si="21"/>
        <v>130.70807636810343</v>
      </c>
      <c r="AF40" s="40">
        <f t="shared" si="30"/>
        <v>64.48359839097446</v>
      </c>
      <c r="AG40" s="40">
        <f t="shared" si="31"/>
        <v>55.84920833700039</v>
      </c>
      <c r="AH40" s="48">
        <f t="shared" si="22"/>
        <v>60</v>
      </c>
      <c r="AI40" s="48">
        <f t="shared" si="23"/>
        <v>60</v>
      </c>
      <c r="AJ40" s="40">
        <f t="shared" si="32"/>
        <v>630.9203327759406</v>
      </c>
      <c r="AK40" s="40">
        <f t="shared" si="33"/>
        <v>152</v>
      </c>
      <c r="AL40" s="40">
        <f t="shared" si="34"/>
        <v>-100000</v>
      </c>
      <c r="AM40" s="40">
        <f t="shared" si="24"/>
        <v>-100000</v>
      </c>
      <c r="AN40" s="40">
        <f t="shared" si="35"/>
        <v>-681.5069554281185</v>
      </c>
      <c r="AO40" s="40">
        <f t="shared" si="36"/>
        <v>152</v>
      </c>
      <c r="AP40" s="40">
        <f t="shared" si="37"/>
        <v>-100000</v>
      </c>
      <c r="AQ40" s="40">
        <f t="shared" si="25"/>
        <v>-100000</v>
      </c>
      <c r="AR40" s="40">
        <f t="shared" si="26"/>
        <v>-100000</v>
      </c>
      <c r="AS40" s="41">
        <f t="shared" si="27"/>
        <v>-100000</v>
      </c>
      <c r="AT40" s="36"/>
      <c r="AU40" s="25"/>
      <c r="AV40" s="25"/>
      <c r="AW40" s="25"/>
      <c r="AX40" s="25"/>
      <c r="AY40" s="25"/>
      <c r="AZ40" s="25"/>
      <c r="BA40" s="25"/>
      <c r="BB40" s="25"/>
      <c r="BC40" s="25"/>
      <c r="BD40" s="25"/>
    </row>
    <row r="41" spans="1:56" ht="13.5" customHeight="1">
      <c r="A41" s="35"/>
      <c r="B41" s="35"/>
      <c r="C41" s="35"/>
      <c r="D41" s="35"/>
      <c r="E41" s="35"/>
      <c r="F41" s="35"/>
      <c r="G41" s="35"/>
      <c r="H41" s="35"/>
      <c r="I41" s="35"/>
      <c r="J41" s="35"/>
      <c r="K41" s="35"/>
      <c r="L41" s="35"/>
      <c r="M41" s="35"/>
      <c r="N41" s="35"/>
      <c r="O41" s="35"/>
      <c r="P41" s="35"/>
      <c r="Q41" s="36"/>
      <c r="R41" s="35"/>
      <c r="S41" s="35"/>
      <c r="T41" s="35"/>
      <c r="U41" s="35"/>
      <c r="V41" s="35"/>
      <c r="W41" s="35"/>
      <c r="X41" s="35"/>
      <c r="Y41" s="35"/>
      <c r="Z41" s="35"/>
      <c r="AA41" s="39">
        <f t="shared" si="28"/>
        <v>156</v>
      </c>
      <c r="AB41" s="51">
        <f t="shared" si="19"/>
        <v>8793.79734500505</v>
      </c>
      <c r="AC41" s="51">
        <f t="shared" si="20"/>
        <v>10338.218696525953</v>
      </c>
      <c r="AD41" s="51">
        <f t="shared" si="29"/>
        <v>76.93524790065722</v>
      </c>
      <c r="AE41" s="51">
        <f t="shared" si="21"/>
        <v>137.67796686695658</v>
      </c>
      <c r="AF41" s="51">
        <f t="shared" si="30"/>
        <v>66.27063267003817</v>
      </c>
      <c r="AG41" s="51">
        <f t="shared" si="31"/>
        <v>56.370495801314426</v>
      </c>
      <c r="AH41" s="48">
        <f t="shared" si="22"/>
        <v>60</v>
      </c>
      <c r="AI41" s="48">
        <f t="shared" si="23"/>
        <v>60</v>
      </c>
      <c r="AJ41" s="40">
        <f t="shared" si="32"/>
        <v>566.2026549949495</v>
      </c>
      <c r="AK41" s="40">
        <f t="shared" si="33"/>
        <v>156</v>
      </c>
      <c r="AL41" s="40">
        <f t="shared" si="34"/>
        <v>-100000</v>
      </c>
      <c r="AM41" s="40">
        <f t="shared" si="24"/>
        <v>-100000</v>
      </c>
      <c r="AN41" s="40">
        <f t="shared" si="35"/>
        <v>-978.2186965259542</v>
      </c>
      <c r="AO41" s="40">
        <f t="shared" si="36"/>
        <v>156</v>
      </c>
      <c r="AP41" s="40">
        <f t="shared" si="37"/>
        <v>-100000</v>
      </c>
      <c r="AQ41" s="40">
        <f t="shared" si="25"/>
        <v>-100000</v>
      </c>
      <c r="AR41" s="40">
        <f t="shared" si="26"/>
        <v>-100000</v>
      </c>
      <c r="AS41" s="41">
        <f t="shared" si="27"/>
        <v>-100000</v>
      </c>
      <c r="AT41" s="35"/>
      <c r="AU41" s="32"/>
      <c r="AV41" s="32"/>
      <c r="AW41" s="32"/>
      <c r="AX41" s="32"/>
      <c r="AY41" s="32"/>
      <c r="AZ41" s="32"/>
      <c r="BA41" s="32"/>
      <c r="BB41" s="32"/>
      <c r="BC41" s="32"/>
      <c r="BD41" s="32"/>
    </row>
    <row r="42" spans="1:56" ht="13.5" customHeight="1">
      <c r="A42" s="35"/>
      <c r="B42" s="35"/>
      <c r="C42" s="35"/>
      <c r="D42" s="35"/>
      <c r="E42" s="35"/>
      <c r="F42" s="35"/>
      <c r="G42" s="35"/>
      <c r="H42" s="35"/>
      <c r="I42" s="35"/>
      <c r="J42" s="35"/>
      <c r="K42" s="35"/>
      <c r="L42" s="35"/>
      <c r="M42" s="35"/>
      <c r="N42" s="35"/>
      <c r="O42" s="35"/>
      <c r="P42" s="35"/>
      <c r="Q42" s="36"/>
      <c r="R42" s="35"/>
      <c r="S42" s="35"/>
      <c r="T42" s="35"/>
      <c r="U42" s="35"/>
      <c r="V42" s="35"/>
      <c r="W42" s="35"/>
      <c r="X42" s="35"/>
      <c r="Y42" s="35"/>
      <c r="Z42" s="35"/>
      <c r="AA42" s="39">
        <f t="shared" si="28"/>
        <v>160</v>
      </c>
      <c r="AB42" s="51">
        <f t="shared" si="19"/>
        <v>9104.569499661588</v>
      </c>
      <c r="AC42" s="51">
        <f t="shared" si="20"/>
        <v>10903.172071852909</v>
      </c>
      <c r="AD42" s="51">
        <f t="shared" si="29"/>
        <v>78.45177968644246</v>
      </c>
      <c r="AE42" s="51">
        <f t="shared" si="21"/>
        <v>144.8288934826631</v>
      </c>
      <c r="AF42" s="51">
        <f t="shared" si="30"/>
        <v>68.14482544908068</v>
      </c>
      <c r="AG42" s="51">
        <f t="shared" si="31"/>
        <v>56.903559372884914</v>
      </c>
      <c r="AH42" s="48">
        <f t="shared" si="22"/>
        <v>60</v>
      </c>
      <c r="AI42" s="48">
        <f t="shared" si="23"/>
        <v>60</v>
      </c>
      <c r="AJ42" s="40">
        <f t="shared" si="32"/>
        <v>495.4305003384138</v>
      </c>
      <c r="AK42" s="40">
        <f t="shared" si="33"/>
        <v>160</v>
      </c>
      <c r="AL42" s="40">
        <f t="shared" si="34"/>
        <v>-100000</v>
      </c>
      <c r="AM42" s="40">
        <f t="shared" si="24"/>
        <v>-100000</v>
      </c>
      <c r="AN42" s="40">
        <f t="shared" si="35"/>
        <v>-1303.1720718529095</v>
      </c>
      <c r="AO42" s="40">
        <f t="shared" si="36"/>
        <v>160</v>
      </c>
      <c r="AP42" s="40">
        <f t="shared" si="37"/>
        <v>-100000</v>
      </c>
      <c r="AQ42" s="40">
        <f t="shared" si="25"/>
        <v>-100000</v>
      </c>
      <c r="AR42" s="40">
        <f t="shared" si="26"/>
        <v>-100000</v>
      </c>
      <c r="AS42" s="41">
        <f t="shared" si="27"/>
        <v>-100000</v>
      </c>
      <c r="AT42" s="35"/>
      <c r="AU42" s="32"/>
      <c r="AV42" s="32"/>
      <c r="AW42" s="32"/>
      <c r="AX42" s="32"/>
      <c r="AY42" s="32"/>
      <c r="AZ42" s="32"/>
      <c r="BA42" s="32"/>
      <c r="BB42" s="32"/>
      <c r="BC42" s="32"/>
      <c r="BD42" s="32"/>
    </row>
    <row r="43" spans="1:56" ht="13.5" customHeight="1">
      <c r="A43" s="35"/>
      <c r="B43" s="35"/>
      <c r="C43" s="35"/>
      <c r="D43" s="35"/>
      <c r="E43" s="35"/>
      <c r="F43" s="35"/>
      <c r="G43" s="35"/>
      <c r="H43" s="35"/>
      <c r="I43" s="35"/>
      <c r="J43" s="35"/>
      <c r="K43" s="35"/>
      <c r="L43" s="35"/>
      <c r="M43" s="35"/>
      <c r="N43" s="35"/>
      <c r="O43" s="35"/>
      <c r="P43" s="35"/>
      <c r="Q43" s="36"/>
      <c r="R43" s="35"/>
      <c r="S43" s="35"/>
      <c r="T43" s="35"/>
      <c r="U43" s="35"/>
      <c r="V43" s="35"/>
      <c r="W43" s="35"/>
      <c r="X43" s="35"/>
      <c r="Y43" s="35"/>
      <c r="Z43" s="35"/>
      <c r="AA43" s="39">
        <f t="shared" si="28"/>
        <v>164</v>
      </c>
      <c r="AB43" s="51">
        <f t="shared" si="19"/>
        <v>9421.418950207028</v>
      </c>
      <c r="AC43" s="51">
        <f t="shared" si="20"/>
        <v>11497.091225876396</v>
      </c>
      <c r="AD43" s="51">
        <f t="shared" si="29"/>
        <v>79.97383826282632</v>
      </c>
      <c r="AE43" s="51">
        <f t="shared" si="21"/>
        <v>152.1608562152229</v>
      </c>
      <c r="AF43" s="51">
        <f t="shared" si="30"/>
        <v>70.10421479192925</v>
      </c>
      <c r="AG43" s="51">
        <f t="shared" si="31"/>
        <v>57.44767652565261</v>
      </c>
      <c r="AH43" s="48">
        <f t="shared" si="22"/>
        <v>60</v>
      </c>
      <c r="AI43" s="48">
        <f t="shared" si="23"/>
        <v>60</v>
      </c>
      <c r="AJ43" s="40">
        <f t="shared" si="32"/>
        <v>418.58104979297184</v>
      </c>
      <c r="AK43" s="40">
        <f t="shared" si="33"/>
        <v>164</v>
      </c>
      <c r="AL43" s="40">
        <f t="shared" si="34"/>
        <v>-100000</v>
      </c>
      <c r="AM43" s="40">
        <f t="shared" si="24"/>
        <v>-100000</v>
      </c>
      <c r="AN43" s="40">
        <f t="shared" si="35"/>
        <v>-1657.0912258763974</v>
      </c>
      <c r="AO43" s="40">
        <f t="shared" si="36"/>
        <v>164</v>
      </c>
      <c r="AP43" s="40">
        <f t="shared" si="37"/>
        <v>-100000</v>
      </c>
      <c r="AQ43" s="40">
        <f t="shared" si="25"/>
        <v>-100000</v>
      </c>
      <c r="AR43" s="40">
        <f t="shared" si="26"/>
        <v>-100000</v>
      </c>
      <c r="AS43" s="41">
        <f t="shared" si="27"/>
        <v>-100000</v>
      </c>
      <c r="AT43" s="35"/>
      <c r="AU43" s="32"/>
      <c r="AV43" s="32"/>
      <c r="AW43" s="32"/>
      <c r="AX43" s="32"/>
      <c r="AY43" s="32"/>
      <c r="AZ43" s="32"/>
      <c r="BA43" s="32"/>
      <c r="BB43" s="32"/>
      <c r="BC43" s="32"/>
      <c r="BD43" s="32"/>
    </row>
    <row r="44" spans="1:56" ht="13.5" customHeight="1">
      <c r="A44" s="35"/>
      <c r="B44" s="35"/>
      <c r="C44" s="35"/>
      <c r="D44" s="35"/>
      <c r="E44" s="35"/>
      <c r="F44" s="35"/>
      <c r="G44" s="35"/>
      <c r="H44" s="35"/>
      <c r="I44" s="35"/>
      <c r="J44" s="35"/>
      <c r="K44" s="35"/>
      <c r="L44" s="35"/>
      <c r="M44" s="35"/>
      <c r="N44" s="35"/>
      <c r="O44" s="35"/>
      <c r="P44" s="35"/>
      <c r="Q44" s="36"/>
      <c r="R44" s="35"/>
      <c r="S44" s="35"/>
      <c r="T44" s="35"/>
      <c r="U44" s="35"/>
      <c r="V44" s="35"/>
      <c r="W44" s="35"/>
      <c r="X44" s="35"/>
      <c r="Y44" s="35"/>
      <c r="Z44" s="35"/>
      <c r="AA44" s="39">
        <f t="shared" si="28"/>
        <v>168</v>
      </c>
      <c r="AB44" s="51">
        <f t="shared" si="19"/>
        <v>9744.367132317184</v>
      </c>
      <c r="AC44" s="51">
        <f t="shared" si="20"/>
        <v>12120.70030306383</v>
      </c>
      <c r="AD44" s="51">
        <f t="shared" si="29"/>
        <v>81.5010926557059</v>
      </c>
      <c r="AE44" s="51">
        <f t="shared" si="21"/>
        <v>159.67385506463606</v>
      </c>
      <c r="AF44" s="51">
        <f t="shared" si="30"/>
        <v>72.14702561347517</v>
      </c>
      <c r="AG44" s="51">
        <f t="shared" si="31"/>
        <v>58.00218531141181</v>
      </c>
      <c r="AH44" s="48">
        <f t="shared" si="22"/>
        <v>60</v>
      </c>
      <c r="AI44" s="48">
        <f t="shared" si="23"/>
        <v>60</v>
      </c>
      <c r="AJ44" s="40">
        <f t="shared" si="32"/>
        <v>335.63286768281637</v>
      </c>
      <c r="AK44" s="40">
        <f t="shared" si="33"/>
        <v>168</v>
      </c>
      <c r="AL44" s="40">
        <f t="shared" si="34"/>
        <v>-100000</v>
      </c>
      <c r="AM44" s="40">
        <f t="shared" si="24"/>
        <v>-100000</v>
      </c>
      <c r="AN44" s="40">
        <f t="shared" si="35"/>
        <v>-2040.7003030638277</v>
      </c>
      <c r="AO44" s="40">
        <f t="shared" si="36"/>
        <v>168</v>
      </c>
      <c r="AP44" s="40">
        <f t="shared" si="37"/>
        <v>-100000</v>
      </c>
      <c r="AQ44" s="40">
        <f t="shared" si="25"/>
        <v>-100000</v>
      </c>
      <c r="AR44" s="40">
        <f t="shared" si="26"/>
        <v>-100000</v>
      </c>
      <c r="AS44" s="41">
        <f t="shared" si="27"/>
        <v>-100000</v>
      </c>
      <c r="AT44" s="35"/>
      <c r="AU44" s="32"/>
      <c r="AV44" s="32"/>
      <c r="AW44" s="32"/>
      <c r="AX44" s="32"/>
      <c r="AY44" s="32"/>
      <c r="AZ44" s="32"/>
      <c r="BA44" s="32"/>
      <c r="BB44" s="32"/>
      <c r="BC44" s="32"/>
      <c r="BD44" s="32"/>
    </row>
    <row r="45" spans="1:56" ht="13.5" customHeight="1">
      <c r="A45" s="35"/>
      <c r="B45" s="35"/>
      <c r="C45" s="35"/>
      <c r="D45" s="35"/>
      <c r="E45" s="35"/>
      <c r="F45" s="35"/>
      <c r="G45" s="35"/>
      <c r="H45" s="35"/>
      <c r="I45" s="35"/>
      <c r="J45" s="35"/>
      <c r="K45" s="35"/>
      <c r="L45" s="35"/>
      <c r="M45" s="35"/>
      <c r="N45" s="35"/>
      <c r="O45" s="35"/>
      <c r="P45" s="35"/>
      <c r="Q45" s="36"/>
      <c r="R45" s="35"/>
      <c r="S45" s="35"/>
      <c r="T45" s="35"/>
      <c r="U45" s="35"/>
      <c r="V45" s="35"/>
      <c r="W45" s="35"/>
      <c r="X45" s="35"/>
      <c r="Y45" s="35"/>
      <c r="Z45" s="35"/>
      <c r="AA45" s="39">
        <f t="shared" si="28"/>
        <v>172</v>
      </c>
      <c r="AB45" s="51">
        <f t="shared" si="19"/>
        <v>10073.434212964048</v>
      </c>
      <c r="AC45" s="51">
        <f t="shared" si="20"/>
        <v>12774.723447882621</v>
      </c>
      <c r="AD45" s="51">
        <f t="shared" si="29"/>
        <v>83.03323899117456</v>
      </c>
      <c r="AE45" s="51">
        <f t="shared" si="21"/>
        <v>167.36789003090252</v>
      </c>
      <c r="AF45" s="51">
        <f t="shared" si="30"/>
        <v>74.27164795280595</v>
      </c>
      <c r="AG45" s="51">
        <f t="shared" si="31"/>
        <v>58.56647798234911</v>
      </c>
      <c r="AH45" s="48">
        <f t="shared" si="22"/>
        <v>60</v>
      </c>
      <c r="AI45" s="48">
        <f t="shared" si="23"/>
        <v>60</v>
      </c>
      <c r="AJ45" s="40">
        <f t="shared" si="32"/>
        <v>246.56578703595255</v>
      </c>
      <c r="AK45" s="40">
        <f t="shared" si="33"/>
        <v>172</v>
      </c>
      <c r="AL45" s="40">
        <f t="shared" si="34"/>
        <v>-100000</v>
      </c>
      <c r="AM45" s="40">
        <f t="shared" si="24"/>
        <v>-100000</v>
      </c>
      <c r="AN45" s="40">
        <f t="shared" si="35"/>
        <v>-2454.723447882623</v>
      </c>
      <c r="AO45" s="40">
        <f t="shared" si="36"/>
        <v>172</v>
      </c>
      <c r="AP45" s="40">
        <f t="shared" si="37"/>
        <v>-100000</v>
      </c>
      <c r="AQ45" s="40">
        <f t="shared" si="25"/>
        <v>-100000</v>
      </c>
      <c r="AR45" s="40">
        <f t="shared" si="26"/>
        <v>-100000</v>
      </c>
      <c r="AS45" s="41">
        <f t="shared" si="27"/>
        <v>-100000</v>
      </c>
      <c r="AT45" s="35"/>
      <c r="AU45" s="32"/>
      <c r="AV45" s="32"/>
      <c r="AW45" s="32"/>
      <c r="AX45" s="32"/>
      <c r="AY45" s="32"/>
      <c r="AZ45" s="32"/>
      <c r="BA45" s="32"/>
      <c r="BB45" s="32"/>
      <c r="BC45" s="32"/>
      <c r="BD45" s="32"/>
    </row>
    <row r="46" spans="1:56" ht="13.5" customHeight="1">
      <c r="A46" s="35"/>
      <c r="B46" s="35"/>
      <c r="C46" s="35"/>
      <c r="D46" s="35"/>
      <c r="E46" s="35"/>
      <c r="F46" s="35"/>
      <c r="G46" s="35"/>
      <c r="H46" s="35"/>
      <c r="I46" s="35"/>
      <c r="J46" s="35"/>
      <c r="K46" s="35"/>
      <c r="L46" s="35"/>
      <c r="M46" s="35"/>
      <c r="N46" s="35"/>
      <c r="O46" s="35"/>
      <c r="P46" s="35"/>
      <c r="Q46" s="36"/>
      <c r="R46" s="35"/>
      <c r="S46" s="35"/>
      <c r="T46" s="35"/>
      <c r="U46" s="35"/>
      <c r="V46" s="35"/>
      <c r="W46" s="35"/>
      <c r="X46" s="35"/>
      <c r="Y46" s="35"/>
      <c r="Z46" s="35"/>
      <c r="AA46" s="39">
        <f t="shared" si="28"/>
        <v>176</v>
      </c>
      <c r="AB46" s="51">
        <f t="shared" si="19"/>
        <v>10408.639193117688</v>
      </c>
      <c r="AC46" s="51">
        <f t="shared" si="20"/>
        <v>13459.884804800186</v>
      </c>
      <c r="AD46" s="51">
        <f t="shared" si="29"/>
        <v>84.56999770772072</v>
      </c>
      <c r="AE46" s="51">
        <f t="shared" si="21"/>
        <v>175.24296111402234</v>
      </c>
      <c r="AF46" s="51">
        <f t="shared" si="30"/>
        <v>76.47661820909198</v>
      </c>
      <c r="AG46" s="51">
        <f t="shared" si="31"/>
        <v>59.139995415441405</v>
      </c>
      <c r="AH46" s="48">
        <f t="shared" si="22"/>
        <v>60</v>
      </c>
      <c r="AI46" s="48">
        <f t="shared" si="23"/>
        <v>60</v>
      </c>
      <c r="AJ46" s="40">
        <f t="shared" si="32"/>
        <v>151.36080688231277</v>
      </c>
      <c r="AK46" s="40">
        <f t="shared" si="33"/>
        <v>176</v>
      </c>
      <c r="AL46" s="40">
        <f t="shared" si="34"/>
        <v>-100000</v>
      </c>
      <c r="AM46" s="40">
        <f t="shared" si="24"/>
        <v>-100000</v>
      </c>
      <c r="AN46" s="40">
        <f t="shared" si="35"/>
        <v>-2899.8848048001887</v>
      </c>
      <c r="AO46" s="40">
        <f t="shared" si="36"/>
        <v>176</v>
      </c>
      <c r="AP46" s="40">
        <f t="shared" si="37"/>
        <v>-100000</v>
      </c>
      <c r="AQ46" s="40">
        <f t="shared" si="25"/>
        <v>-100000</v>
      </c>
      <c r="AR46" s="40">
        <f t="shared" si="26"/>
        <v>-100000</v>
      </c>
      <c r="AS46" s="41">
        <f t="shared" si="27"/>
        <v>-100000</v>
      </c>
      <c r="AT46" s="35"/>
      <c r="AU46" s="32"/>
      <c r="AV46" s="32"/>
      <c r="AW46" s="32"/>
      <c r="AX46" s="32"/>
      <c r="AY46" s="32"/>
      <c r="AZ46" s="32"/>
      <c r="BA46" s="32"/>
      <c r="BB46" s="32"/>
      <c r="BC46" s="32"/>
      <c r="BD46" s="32"/>
    </row>
    <row r="47" spans="1:56" ht="13.5" customHeight="1">
      <c r="A47" s="35"/>
      <c r="B47" s="35"/>
      <c r="C47" s="35"/>
      <c r="D47" s="35"/>
      <c r="E47" s="35"/>
      <c r="F47" s="35"/>
      <c r="G47" s="35"/>
      <c r="H47" s="35"/>
      <c r="I47" s="35"/>
      <c r="J47" s="35"/>
      <c r="K47" s="35"/>
      <c r="L47" s="35"/>
      <c r="M47" s="35"/>
      <c r="N47" s="35"/>
      <c r="O47" s="35"/>
      <c r="P47" s="35"/>
      <c r="Q47" s="36"/>
      <c r="R47" s="35"/>
      <c r="S47" s="35"/>
      <c r="T47" s="35"/>
      <c r="U47" s="35"/>
      <c r="V47" s="35"/>
      <c r="W47" s="35"/>
      <c r="X47" s="35"/>
      <c r="Y47" s="35"/>
      <c r="Z47" s="35"/>
      <c r="AA47" s="39">
        <f t="shared" si="28"/>
        <v>180</v>
      </c>
      <c r="AB47" s="51">
        <f t="shared" si="19"/>
        <v>10750</v>
      </c>
      <c r="AC47" s="51">
        <f t="shared" si="20"/>
        <v>14176.908518283937</v>
      </c>
      <c r="AD47" s="51">
        <f t="shared" si="29"/>
        <v>86.11111111111111</v>
      </c>
      <c r="AE47" s="51">
        <f t="shared" si="21"/>
        <v>183.29906831399546</v>
      </c>
      <c r="AF47" s="51">
        <f t="shared" si="30"/>
        <v>78.76060287935522</v>
      </c>
      <c r="AG47" s="51">
        <f t="shared" si="31"/>
        <v>59.72222222222222</v>
      </c>
      <c r="AH47" s="48">
        <f t="shared" si="22"/>
        <v>60</v>
      </c>
      <c r="AI47" s="48">
        <f t="shared" si="23"/>
        <v>60</v>
      </c>
      <c r="AJ47" s="40">
        <f t="shared" si="32"/>
        <v>50.00000000000014</v>
      </c>
      <c r="AK47" s="40">
        <f t="shared" si="33"/>
        <v>180</v>
      </c>
      <c r="AL47" s="40">
        <f t="shared" si="34"/>
        <v>-100000</v>
      </c>
      <c r="AM47" s="40">
        <f t="shared" si="24"/>
        <v>-100000</v>
      </c>
      <c r="AN47" s="40">
        <f t="shared" si="35"/>
        <v>-3376.9085182839394</v>
      </c>
      <c r="AO47" s="40">
        <f t="shared" si="36"/>
        <v>180</v>
      </c>
      <c r="AP47" s="40">
        <f t="shared" si="37"/>
        <v>-100000</v>
      </c>
      <c r="AQ47" s="40">
        <f t="shared" si="25"/>
        <v>-100000</v>
      </c>
      <c r="AR47" s="40">
        <f t="shared" si="26"/>
        <v>-100000</v>
      </c>
      <c r="AS47" s="41">
        <f t="shared" si="27"/>
        <v>-100000</v>
      </c>
      <c r="AT47" s="35"/>
      <c r="AU47" s="32"/>
      <c r="AV47" s="32"/>
      <c r="AW47" s="32"/>
      <c r="AX47" s="32"/>
      <c r="AY47" s="32"/>
      <c r="AZ47" s="32"/>
      <c r="BA47" s="32"/>
      <c r="BB47" s="32"/>
      <c r="BC47" s="32"/>
      <c r="BD47" s="32"/>
    </row>
    <row r="48" spans="1:56" ht="13.5" customHeight="1">
      <c r="A48" s="35"/>
      <c r="B48" s="35"/>
      <c r="C48" s="35"/>
      <c r="D48" s="35"/>
      <c r="E48" s="35"/>
      <c r="F48" s="35"/>
      <c r="G48" s="35"/>
      <c r="H48" s="35"/>
      <c r="I48" s="35"/>
      <c r="J48" s="35"/>
      <c r="K48" s="35"/>
      <c r="L48" s="35"/>
      <c r="M48" s="35"/>
      <c r="N48" s="35"/>
      <c r="O48" s="35"/>
      <c r="P48" s="35"/>
      <c r="Q48" s="36"/>
      <c r="R48" s="35"/>
      <c r="S48" s="35"/>
      <c r="T48" s="35"/>
      <c r="U48" s="35"/>
      <c r="V48" s="35"/>
      <c r="W48" s="35"/>
      <c r="X48" s="35"/>
      <c r="Y48" s="35"/>
      <c r="Z48" s="35"/>
      <c r="AA48" s="39">
        <f t="shared" si="28"/>
        <v>184</v>
      </c>
      <c r="AB48" s="51">
        <f t="shared" si="19"/>
        <v>11097.533570160827</v>
      </c>
      <c r="AC48" s="51">
        <f t="shared" si="20"/>
        <v>14926.518732801287</v>
      </c>
      <c r="AD48" s="51">
        <f t="shared" si="29"/>
        <v>87.65634122326313</v>
      </c>
      <c r="AE48" s="51">
        <f t="shared" si="21"/>
        <v>191.53621163082192</v>
      </c>
      <c r="AF48" s="51">
        <f t="shared" si="30"/>
        <v>81.12238441739831</v>
      </c>
      <c r="AG48" s="51">
        <f t="shared" si="31"/>
        <v>60.31268244652624</v>
      </c>
      <c r="AH48" s="48">
        <f t="shared" si="22"/>
        <v>60</v>
      </c>
      <c r="AI48" s="48">
        <f t="shared" si="23"/>
        <v>60</v>
      </c>
      <c r="AJ48" s="40">
        <f t="shared" si="32"/>
        <v>-57.533570160827935</v>
      </c>
      <c r="AK48" s="40">
        <f t="shared" si="33"/>
        <v>184</v>
      </c>
      <c r="AL48" s="40">
        <f t="shared" si="34"/>
        <v>-100000</v>
      </c>
      <c r="AM48" s="40">
        <f t="shared" si="24"/>
        <v>-100000</v>
      </c>
      <c r="AN48" s="40">
        <f t="shared" si="35"/>
        <v>-3886.518732801289</v>
      </c>
      <c r="AO48" s="40">
        <f t="shared" si="36"/>
        <v>184</v>
      </c>
      <c r="AP48" s="40">
        <f t="shared" si="37"/>
        <v>-100000</v>
      </c>
      <c r="AQ48" s="40">
        <f t="shared" si="25"/>
        <v>-100000</v>
      </c>
      <c r="AR48" s="40">
        <f t="shared" si="26"/>
        <v>-100000</v>
      </c>
      <c r="AS48" s="41">
        <f t="shared" si="27"/>
        <v>-100000</v>
      </c>
      <c r="AT48" s="35"/>
      <c r="AU48" s="32"/>
      <c r="AV48" s="32"/>
      <c r="AW48" s="32"/>
      <c r="AX48" s="32"/>
      <c r="AY48" s="32"/>
      <c r="AZ48" s="32"/>
      <c r="BA48" s="32"/>
      <c r="BB48" s="32"/>
      <c r="BC48" s="32"/>
      <c r="BD48" s="32"/>
    </row>
    <row r="49" spans="1:56" ht="13.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9">
        <f t="shared" si="28"/>
        <v>188</v>
      </c>
      <c r="AB49" s="51">
        <f t="shared" si="19"/>
        <v>11451.255924468238</v>
      </c>
      <c r="AC49" s="51">
        <f t="shared" si="20"/>
        <v>15709.43959281965</v>
      </c>
      <c r="AD49" s="51">
        <f t="shared" si="29"/>
        <v>89.20546788422405</v>
      </c>
      <c r="AE49" s="51">
        <f t="shared" si="21"/>
        <v>199.95439106450172</v>
      </c>
      <c r="AF49" s="51">
        <f t="shared" si="30"/>
        <v>83.56084889797687</v>
      </c>
      <c r="AG49" s="51">
        <f t="shared" si="31"/>
        <v>60.91093576844808</v>
      </c>
      <c r="AH49" s="48">
        <f t="shared" si="22"/>
        <v>60</v>
      </c>
      <c r="AI49" s="48">
        <f t="shared" si="23"/>
        <v>60</v>
      </c>
      <c r="AJ49" s="40">
        <f t="shared" si="32"/>
        <v>-171.25592446823848</v>
      </c>
      <c r="AK49" s="40">
        <f t="shared" si="33"/>
        <v>188</v>
      </c>
      <c r="AL49" s="40">
        <f t="shared" si="34"/>
        <v>-100000</v>
      </c>
      <c r="AM49" s="40">
        <f t="shared" si="24"/>
        <v>-100000</v>
      </c>
      <c r="AN49" s="40">
        <f t="shared" si="35"/>
        <v>-4429.439592819651</v>
      </c>
      <c r="AO49" s="40">
        <f t="shared" si="36"/>
        <v>188</v>
      </c>
      <c r="AP49" s="40">
        <f t="shared" si="37"/>
        <v>-100000</v>
      </c>
      <c r="AQ49" s="40">
        <f t="shared" si="25"/>
        <v>-100000</v>
      </c>
      <c r="AR49" s="40">
        <f t="shared" si="26"/>
        <v>-100000</v>
      </c>
      <c r="AS49" s="41">
        <f t="shared" si="27"/>
        <v>-100000</v>
      </c>
      <c r="AT49" s="35"/>
      <c r="AU49" s="32"/>
      <c r="AV49" s="32"/>
      <c r="AW49" s="32"/>
      <c r="AX49" s="32"/>
      <c r="AY49" s="32"/>
      <c r="AZ49" s="32"/>
      <c r="BA49" s="32"/>
      <c r="BB49" s="32"/>
      <c r="BC49" s="32"/>
      <c r="BD49" s="32"/>
    </row>
    <row r="50" spans="1:56" ht="13.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9">
        <f t="shared" si="28"/>
        <v>192</v>
      </c>
      <c r="AB50" s="51">
        <f t="shared" si="19"/>
        <v>11811.182235954577</v>
      </c>
      <c r="AC50" s="51">
        <f t="shared" si="20"/>
        <v>16526.39524280644</v>
      </c>
      <c r="AD50" s="51">
        <f t="shared" si="29"/>
        <v>90.75828707279838</v>
      </c>
      <c r="AE50" s="51">
        <f t="shared" si="21"/>
        <v>208.55360661503482</v>
      </c>
      <c r="AF50" s="51">
        <f t="shared" si="30"/>
        <v>86.0749752229502</v>
      </c>
      <c r="AG50" s="51">
        <f t="shared" si="31"/>
        <v>61.51657414559676</v>
      </c>
      <c r="AH50" s="48">
        <f t="shared" si="22"/>
        <v>60</v>
      </c>
      <c r="AI50" s="48">
        <f t="shared" si="23"/>
        <v>60</v>
      </c>
      <c r="AJ50" s="40">
        <f t="shared" si="32"/>
        <v>-291.1822359545786</v>
      </c>
      <c r="AK50" s="40">
        <f t="shared" si="33"/>
        <v>192</v>
      </c>
      <c r="AL50" s="40">
        <f t="shared" si="34"/>
        <v>-100000</v>
      </c>
      <c r="AM50" s="40">
        <f t="shared" si="24"/>
        <v>-100000</v>
      </c>
      <c r="AN50" s="40">
        <f t="shared" si="35"/>
        <v>-5006.395242806439</v>
      </c>
      <c r="AO50" s="40">
        <f t="shared" si="36"/>
        <v>192</v>
      </c>
      <c r="AP50" s="40">
        <f t="shared" si="37"/>
        <v>-100000</v>
      </c>
      <c r="AQ50" s="40">
        <f t="shared" si="25"/>
        <v>-100000</v>
      </c>
      <c r="AR50" s="40">
        <f t="shared" si="26"/>
        <v>-100000</v>
      </c>
      <c r="AS50" s="41">
        <f t="shared" si="27"/>
        <v>-100000</v>
      </c>
      <c r="AT50" s="35"/>
      <c r="AU50" s="32"/>
      <c r="AV50" s="32"/>
      <c r="AW50" s="32"/>
      <c r="AX50" s="32"/>
      <c r="AY50" s="32"/>
      <c r="AZ50" s="32"/>
      <c r="BA50" s="32"/>
      <c r="BB50" s="32"/>
      <c r="BC50" s="32"/>
      <c r="BD50" s="32"/>
    </row>
    <row r="51" spans="1:56" ht="13.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9">
        <f t="shared" si="28"/>
        <v>196</v>
      </c>
      <c r="AB51" s="51">
        <f t="shared" si="19"/>
        <v>12177.326891332941</v>
      </c>
      <c r="AC51" s="51">
        <f t="shared" si="20"/>
        <v>17378.10982722907</v>
      </c>
      <c r="AD51" s="51">
        <f t="shared" si="29"/>
        <v>92.31460941666566</v>
      </c>
      <c r="AE51" s="51">
        <f t="shared" si="21"/>
        <v>217.3338582824213</v>
      </c>
      <c r="AF51" s="51">
        <f t="shared" si="30"/>
        <v>88.6638256491279</v>
      </c>
      <c r="AG51" s="51">
        <f t="shared" si="31"/>
        <v>62.12921883333133</v>
      </c>
      <c r="AH51" s="48">
        <f t="shared" si="22"/>
        <v>60</v>
      </c>
      <c r="AI51" s="48">
        <f t="shared" si="23"/>
        <v>60</v>
      </c>
      <c r="AJ51" s="40">
        <f t="shared" si="32"/>
        <v>-417.3268913329405</v>
      </c>
      <c r="AK51" s="40">
        <f t="shared" si="33"/>
        <v>196</v>
      </c>
      <c r="AL51" s="40">
        <f t="shared" si="34"/>
        <v>-100000</v>
      </c>
      <c r="AM51" s="40">
        <f t="shared" si="24"/>
        <v>-100000</v>
      </c>
      <c r="AN51" s="40">
        <f t="shared" si="35"/>
        <v>-5618.109827229068</v>
      </c>
      <c r="AO51" s="40">
        <f t="shared" si="36"/>
        <v>196</v>
      </c>
      <c r="AP51" s="40">
        <f t="shared" si="37"/>
        <v>-100000</v>
      </c>
      <c r="AQ51" s="40">
        <f t="shared" si="25"/>
        <v>-100000</v>
      </c>
      <c r="AR51" s="40">
        <f t="shared" si="26"/>
        <v>-100000</v>
      </c>
      <c r="AS51" s="41">
        <f t="shared" si="27"/>
        <v>-100000</v>
      </c>
      <c r="AT51" s="35"/>
      <c r="AU51" s="32"/>
      <c r="AV51" s="32"/>
      <c r="AW51" s="32"/>
      <c r="AX51" s="32"/>
      <c r="AY51" s="32"/>
      <c r="AZ51" s="32"/>
      <c r="BA51" s="32"/>
      <c r="BB51" s="32"/>
      <c r="BC51" s="32"/>
      <c r="BD51" s="32"/>
    </row>
    <row r="52" spans="1:56" ht="13.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9">
        <f t="shared" si="28"/>
        <v>200</v>
      </c>
      <c r="AB52" s="51">
        <f t="shared" si="19"/>
        <v>12549.703546891173</v>
      </c>
      <c r="AC52" s="51">
        <f t="shared" si="20"/>
        <v>18265.307490554947</v>
      </c>
      <c r="AD52" s="51">
        <f t="shared" si="29"/>
        <v>93.87425886722794</v>
      </c>
      <c r="AE52" s="51">
        <f t="shared" si="21"/>
        <v>226.29514606666106</v>
      </c>
      <c r="AF52" s="51">
        <f t="shared" si="30"/>
        <v>91.32653745277474</v>
      </c>
      <c r="AG52" s="51">
        <f t="shared" si="31"/>
        <v>62.748517734455866</v>
      </c>
      <c r="AH52" s="48">
        <f t="shared" si="22"/>
        <v>60</v>
      </c>
      <c r="AI52" s="48">
        <f t="shared" si="23"/>
        <v>60</v>
      </c>
      <c r="AJ52" s="40">
        <f t="shared" si="32"/>
        <v>-549.7035468911733</v>
      </c>
      <c r="AK52" s="40">
        <f t="shared" si="33"/>
        <v>200</v>
      </c>
      <c r="AL52" s="40">
        <f t="shared" si="34"/>
        <v>-100000</v>
      </c>
      <c r="AM52" s="40">
        <f t="shared" si="24"/>
        <v>-100000</v>
      </c>
      <c r="AN52" s="40">
        <f t="shared" si="35"/>
        <v>-6265.307490554949</v>
      </c>
      <c r="AO52" s="40">
        <f t="shared" si="36"/>
        <v>200</v>
      </c>
      <c r="AP52" s="40">
        <f t="shared" si="37"/>
        <v>-100000</v>
      </c>
      <c r="AQ52" s="40">
        <f t="shared" si="25"/>
        <v>-100000</v>
      </c>
      <c r="AR52" s="40">
        <f t="shared" si="26"/>
        <v>-100000</v>
      </c>
      <c r="AS52" s="41">
        <f t="shared" si="27"/>
        <v>-100000</v>
      </c>
      <c r="AT52" s="35"/>
      <c r="AU52" s="32"/>
      <c r="AV52" s="32"/>
      <c r="AW52" s="32"/>
      <c r="AX52" s="32"/>
      <c r="AY52" s="32"/>
      <c r="AZ52" s="32"/>
      <c r="BA52" s="32"/>
      <c r="BB52" s="32"/>
      <c r="BC52" s="32"/>
      <c r="BD52" s="32"/>
    </row>
    <row r="53" spans="1:56" ht="13.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9">
        <f t="shared" si="28"/>
        <v>204</v>
      </c>
      <c r="AB53" s="51">
        <f t="shared" si="19"/>
        <v>12928.325179379017</v>
      </c>
      <c r="AC53" s="51">
        <f t="shared" si="20"/>
        <v>19188.712377251493</v>
      </c>
      <c r="AD53" s="51">
        <f t="shared" si="29"/>
        <v>95.43707151808582</v>
      </c>
      <c r="AE53" s="51">
        <f t="shared" si="21"/>
        <v>235.43746996775417</v>
      </c>
      <c r="AF53" s="51">
        <f t="shared" si="30"/>
        <v>94.06231557476224</v>
      </c>
      <c r="AG53" s="51">
        <f t="shared" si="31"/>
        <v>63.374143036171645</v>
      </c>
      <c r="AH53" s="48">
        <f t="shared" si="22"/>
        <v>60</v>
      </c>
      <c r="AI53" s="48">
        <f t="shared" si="23"/>
        <v>60</v>
      </c>
      <c r="AJ53" s="40">
        <f t="shared" si="32"/>
        <v>-688.3251793790157</v>
      </c>
      <c r="AK53" s="40">
        <f t="shared" si="33"/>
        <v>204</v>
      </c>
      <c r="AL53" s="40">
        <f t="shared" si="34"/>
        <v>-100000</v>
      </c>
      <c r="AM53" s="40">
        <f t="shared" si="24"/>
        <v>-100000</v>
      </c>
      <c r="AN53" s="40">
        <f t="shared" si="35"/>
        <v>-6948.712377251497</v>
      </c>
      <c r="AO53" s="40">
        <f t="shared" si="36"/>
        <v>204</v>
      </c>
      <c r="AP53" s="40">
        <f t="shared" si="37"/>
        <v>-100000</v>
      </c>
      <c r="AQ53" s="40">
        <f t="shared" si="25"/>
        <v>-100000</v>
      </c>
      <c r="AR53" s="40">
        <f t="shared" si="26"/>
        <v>-100000</v>
      </c>
      <c r="AS53" s="41">
        <f t="shared" si="27"/>
        <v>-100000</v>
      </c>
      <c r="AT53" s="35"/>
      <c r="AU53" s="32"/>
      <c r="AV53" s="32"/>
      <c r="AW53" s="32"/>
      <c r="AX53" s="32"/>
      <c r="AY53" s="32"/>
      <c r="AZ53" s="32"/>
      <c r="BA53" s="32"/>
      <c r="BB53" s="32"/>
      <c r="BC53" s="32"/>
      <c r="BD53" s="32"/>
    </row>
    <row r="54" spans="1:56" ht="13.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9">
        <f t="shared" si="28"/>
        <v>208</v>
      </c>
      <c r="AB54" s="51">
        <f t="shared" si="19"/>
        <v>13313.204132425893</v>
      </c>
      <c r="AC54" s="51">
        <f t="shared" si="20"/>
        <v>20149.04863178612</v>
      </c>
      <c r="AD54" s="51">
        <f t="shared" si="29"/>
        <v>97.00289454910072</v>
      </c>
      <c r="AE54" s="51">
        <f t="shared" si="21"/>
        <v>244.7608299857006</v>
      </c>
      <c r="AF54" s="51">
        <f t="shared" si="30"/>
        <v>96.87042611435635</v>
      </c>
      <c r="AG54" s="51">
        <f t="shared" si="31"/>
        <v>64.0057890982014</v>
      </c>
      <c r="AH54" s="48">
        <f t="shared" si="22"/>
        <v>60</v>
      </c>
      <c r="AI54" s="48">
        <f t="shared" si="23"/>
        <v>60</v>
      </c>
      <c r="AJ54" s="40">
        <f t="shared" si="32"/>
        <v>-833.2041324258921</v>
      </c>
      <c r="AK54" s="40">
        <f t="shared" si="33"/>
        <v>208</v>
      </c>
      <c r="AL54" s="40">
        <f t="shared" si="34"/>
        <v>-100000</v>
      </c>
      <c r="AM54" s="40">
        <f t="shared" si="24"/>
        <v>-100000</v>
      </c>
      <c r="AN54" s="40">
        <f t="shared" si="35"/>
        <v>-7669.0486317861205</v>
      </c>
      <c r="AO54" s="40">
        <f t="shared" si="36"/>
        <v>208</v>
      </c>
      <c r="AP54" s="40">
        <f t="shared" si="37"/>
        <v>-100000</v>
      </c>
      <c r="AQ54" s="40">
        <f t="shared" si="25"/>
        <v>-100000</v>
      </c>
      <c r="AR54" s="40">
        <f t="shared" si="26"/>
        <v>-100000</v>
      </c>
      <c r="AS54" s="41">
        <f t="shared" si="27"/>
        <v>-100000</v>
      </c>
      <c r="AT54" s="35"/>
      <c r="AU54" s="32"/>
      <c r="AV54" s="32"/>
      <c r="AW54" s="32"/>
      <c r="AX54" s="32"/>
      <c r="AY54" s="32"/>
      <c r="AZ54" s="32"/>
      <c r="BA54" s="32"/>
      <c r="BB54" s="32"/>
      <c r="BC54" s="32"/>
      <c r="BD54" s="32"/>
    </row>
    <row r="55" spans="1:56" ht="13.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9">
        <f t="shared" si="28"/>
        <v>212</v>
      </c>
      <c r="AB55" s="51">
        <f t="shared" si="19"/>
        <v>13704.352158959922</v>
      </c>
      <c r="AC55" s="51">
        <f t="shared" si="20"/>
        <v>21147.04039862624</v>
      </c>
      <c r="AD55" s="51">
        <f t="shared" si="29"/>
        <v>98.57158528056587</v>
      </c>
      <c r="AE55" s="51">
        <f t="shared" si="21"/>
        <v>254.26522612050036</v>
      </c>
      <c r="AF55" s="51">
        <f t="shared" si="30"/>
        <v>99.75019055955772</v>
      </c>
      <c r="AG55" s="51">
        <f t="shared" si="31"/>
        <v>64.64317056113171</v>
      </c>
      <c r="AH55" s="48">
        <f t="shared" si="22"/>
        <v>60</v>
      </c>
      <c r="AI55" s="48">
        <f t="shared" si="23"/>
        <v>60</v>
      </c>
      <c r="AJ55" s="40">
        <f t="shared" si="32"/>
        <v>-984.3521589599228</v>
      </c>
      <c r="AK55" s="40">
        <f t="shared" si="33"/>
        <v>212</v>
      </c>
      <c r="AL55" s="40">
        <f t="shared" si="34"/>
        <v>-100000</v>
      </c>
      <c r="AM55" s="40">
        <f t="shared" si="24"/>
        <v>-100000</v>
      </c>
      <c r="AN55" s="40">
        <f t="shared" si="35"/>
        <v>-8427.040398626237</v>
      </c>
      <c r="AO55" s="40">
        <f t="shared" si="36"/>
        <v>212</v>
      </c>
      <c r="AP55" s="40">
        <f t="shared" si="37"/>
        <v>-100000</v>
      </c>
      <c r="AQ55" s="40">
        <f t="shared" si="25"/>
        <v>-100000</v>
      </c>
      <c r="AR55" s="40">
        <f t="shared" si="26"/>
        <v>-100000</v>
      </c>
      <c r="AS55" s="41">
        <f t="shared" si="27"/>
        <v>-100000</v>
      </c>
      <c r="AT55" s="35"/>
      <c r="AU55" s="32"/>
      <c r="AV55" s="32"/>
      <c r="AW55" s="32"/>
      <c r="AX55" s="32"/>
      <c r="AY55" s="32"/>
      <c r="AZ55" s="32"/>
      <c r="BA55" s="32"/>
      <c r="BB55" s="32"/>
      <c r="BC55" s="32"/>
      <c r="BD55" s="32"/>
    </row>
    <row r="56" spans="1:56" ht="13.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52"/>
      <c r="AB56" s="51"/>
      <c r="AC56" s="51"/>
      <c r="AD56" s="51"/>
      <c r="AE56" s="51"/>
      <c r="AF56" s="51"/>
      <c r="AG56" s="51"/>
      <c r="AH56" s="51"/>
      <c r="AI56" s="51"/>
      <c r="AJ56" s="51">
        <f>MAX(AJ2:AJ55)</f>
        <v>951.6133230340661</v>
      </c>
      <c r="AK56" s="51"/>
      <c r="AL56" s="51"/>
      <c r="AM56" s="51"/>
      <c r="AN56" s="51">
        <f>MAX(AN2:AN55)</f>
        <v>939.7750540130503</v>
      </c>
      <c r="AO56" s="51"/>
      <c r="AP56" s="51"/>
      <c r="AQ56" s="51"/>
      <c r="AR56" s="51"/>
      <c r="AS56" s="53"/>
      <c r="AT56" s="35"/>
      <c r="AU56" s="32"/>
      <c r="AV56" s="32"/>
      <c r="AW56" s="32"/>
      <c r="AX56" s="32"/>
      <c r="AY56" s="32"/>
      <c r="AZ56" s="32"/>
      <c r="BA56" s="32"/>
      <c r="BB56" s="32"/>
      <c r="BC56" s="32"/>
      <c r="BD56" s="32"/>
    </row>
    <row r="57" spans="1:56" ht="13.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2"/>
      <c r="AV57" s="32"/>
      <c r="AW57" s="32"/>
      <c r="AX57" s="32"/>
      <c r="AY57" s="32"/>
      <c r="AZ57" s="32"/>
      <c r="BA57" s="32"/>
      <c r="BB57" s="32"/>
      <c r="BC57" s="32"/>
      <c r="BD57" s="32"/>
    </row>
    <row r="58" spans="1:56" ht="13.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2"/>
      <c r="AV58" s="32"/>
      <c r="AW58" s="32"/>
      <c r="AX58" s="32"/>
      <c r="AY58" s="32"/>
      <c r="AZ58" s="32"/>
      <c r="BA58" s="32"/>
      <c r="BB58" s="32"/>
      <c r="BC58" s="32"/>
      <c r="BD58" s="32"/>
    </row>
    <row r="59" spans="1:56" ht="13.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2"/>
      <c r="AV59" s="32"/>
      <c r="AW59" s="32"/>
      <c r="AX59" s="32"/>
      <c r="AY59" s="32"/>
      <c r="AZ59" s="32"/>
      <c r="BA59" s="32"/>
      <c r="BB59" s="32"/>
      <c r="BC59" s="32"/>
      <c r="BD59" s="32"/>
    </row>
    <row r="60" spans="1:56" ht="13.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2"/>
      <c r="AV60" s="32"/>
      <c r="AW60" s="32"/>
      <c r="AX60" s="32"/>
      <c r="AY60" s="32"/>
      <c r="AZ60" s="32"/>
      <c r="BA60" s="32"/>
      <c r="BB60" s="32"/>
      <c r="BC60" s="32"/>
      <c r="BD60" s="32"/>
    </row>
    <row r="61" spans="1:56" ht="13.5" customHeight="1">
      <c r="A61" s="32"/>
      <c r="B61" s="32"/>
      <c r="C61" s="32"/>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2"/>
      <c r="AV61" s="32"/>
      <c r="AW61" s="32"/>
      <c r="AX61" s="32"/>
      <c r="AY61" s="32"/>
      <c r="AZ61" s="32"/>
      <c r="BA61" s="32"/>
      <c r="BB61" s="32"/>
      <c r="BC61" s="32"/>
      <c r="BD61" s="32"/>
    </row>
    <row r="62" spans="1:56" ht="13.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row>
    <row r="63" spans="1:56" ht="13.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row>
    <row r="64" spans="1:56" ht="13.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row>
    <row r="65" spans="1:56" ht="13.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row>
    <row r="66" spans="1:56" ht="13.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row>
    <row r="67" spans="1:56" ht="13.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row>
    <row r="68" spans="1:56" ht="13.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row>
    <row r="69" spans="1:56" ht="13.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row>
    <row r="70" spans="1:56" ht="13.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row>
    <row r="71" spans="1:56" ht="13.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row>
    <row r="72" spans="1:56" ht="13.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row>
    <row r="73" spans="1:56" ht="13.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row>
    <row r="74" spans="1:56" ht="13.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row>
    <row r="75" spans="1:56" ht="13.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row>
    <row r="76" spans="1:56" ht="13.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row>
    <row r="77" spans="1:56" ht="13.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row>
    <row r="78" spans="1:56"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row>
    <row r="79" spans="1:56"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row>
    <row r="80" spans="1:56" ht="13.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row>
    <row r="81" spans="1:56" ht="13.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row>
    <row r="82" spans="1:56" ht="13.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row>
    <row r="83" spans="1:56" ht="13.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row>
    <row r="84" spans="1:56" ht="13.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row>
    <row r="85" spans="1:56" ht="13.5" customHeight="1">
      <c r="A85" s="29" t="s">
        <v>29</v>
      </c>
      <c r="B85" s="29" t="s">
        <v>10</v>
      </c>
      <c r="C85" s="29" t="s">
        <v>26</v>
      </c>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row>
    <row r="86" spans="1:56" ht="13.5" customHeight="1">
      <c r="A86" s="29">
        <v>0</v>
      </c>
      <c r="B86" s="30"/>
      <c r="C86" s="30"/>
      <c r="D86" s="29" t="s">
        <v>7</v>
      </c>
      <c r="E86" s="29" t="s">
        <v>9</v>
      </c>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row>
    <row r="87" spans="1:56" ht="13.5" customHeight="1">
      <c r="A87" s="29"/>
      <c r="B87" s="30"/>
      <c r="C87" s="30"/>
      <c r="D87" s="30"/>
      <c r="E87" s="30"/>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row>
    <row r="88" spans="1:56" ht="13.5" customHeight="1">
      <c r="A88" s="29">
        <f>A86+6*C$7</f>
        <v>24</v>
      </c>
      <c r="B88" s="30">
        <f>AU12/A88</f>
        <v>65.85806194501845</v>
      </c>
      <c r="C88" s="30">
        <f>2*AV$1*A88+0.5*AV$2*A88^-0.5</f>
        <v>40.42903097250923</v>
      </c>
      <c r="D88" s="30">
        <f>(AU12-AU10)/(A88-A86)</f>
        <v>65.85806194501845</v>
      </c>
      <c r="E88" s="30"/>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row>
    <row r="89" spans="1:56" ht="13.5" customHeight="1">
      <c r="A89" s="29"/>
      <c r="B89" s="30"/>
      <c r="C89" s="30"/>
      <c r="D89" s="30"/>
      <c r="E89" s="30">
        <f>AV$6*A88^2+AV$7/A88</f>
        <v>133.54306751129542</v>
      </c>
      <c r="F89" s="29" t="s">
        <v>61</v>
      </c>
      <c r="G89" s="29" t="s">
        <v>8</v>
      </c>
      <c r="H89" s="33"/>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row>
    <row r="90" spans="1:56" ht="13.5" customHeight="1">
      <c r="A90" s="29">
        <f>A88+6*C$7</f>
        <v>48</v>
      </c>
      <c r="B90" s="30">
        <f>AU14/A90</f>
        <v>53.03314829119352</v>
      </c>
      <c r="C90" s="30">
        <f>2*AV$1*A90+0.5*AV$2*A90^-0.5</f>
        <v>41.51657414559676</v>
      </c>
      <c r="D90" s="30">
        <f>(AU14-AU12)/(A90-A88)</f>
        <v>40.208234637368584</v>
      </c>
      <c r="E90" s="30"/>
      <c r="F90" s="30">
        <f>AV$6*3*A86^2</f>
        <v>0</v>
      </c>
      <c r="G90" s="30"/>
      <c r="H90" s="33"/>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row>
    <row r="91" spans="1:56" ht="13.5" customHeight="1">
      <c r="A91" s="29"/>
      <c r="B91" s="30"/>
      <c r="C91" s="30"/>
      <c r="D91" s="30"/>
      <c r="E91" s="30">
        <f>AV$6*A90^2+AV$7/A90</f>
        <v>70.57329220956761</v>
      </c>
      <c r="F91" s="30"/>
      <c r="G91" s="30">
        <f>(AV12-AV10)/(A88-A86)</f>
        <v>1.0862167011199706</v>
      </c>
      <c r="H91" s="33"/>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row>
    <row r="92" spans="1:56" ht="13.5" customHeight="1">
      <c r="A92" s="29">
        <f>A90+6*C$7</f>
        <v>72</v>
      </c>
      <c r="B92" s="30">
        <f>AU16/A92</f>
        <v>50.136418446315325</v>
      </c>
      <c r="C92" s="30">
        <f>2*AV$1*A92+0.5*AV$2*A92^-0.5</f>
        <v>47.568209223157666</v>
      </c>
      <c r="D92" s="30">
        <f>(AU16-AU14)/(A92-A90)</f>
        <v>44.342958756558936</v>
      </c>
      <c r="E92" s="30"/>
      <c r="F92" s="30">
        <f>AV$6*3*A88^2</f>
        <v>3.258650103359919</v>
      </c>
      <c r="G92" s="30"/>
      <c r="H92" s="33"/>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row>
    <row r="93" spans="1:56" ht="13.5" customHeight="1">
      <c r="A93" s="29"/>
      <c r="B93" s="30"/>
      <c r="C93" s="30"/>
      <c r="D93" s="30"/>
      <c r="E93" s="30">
        <f>AV$6*A92^2+AV$7/A92</f>
        <v>53.92823391347157</v>
      </c>
      <c r="F93" s="30"/>
      <c r="G93" s="30">
        <f>(AV14-AV12)/(A90-A88)</f>
        <v>7.603516907839814</v>
      </c>
      <c r="H93" s="33"/>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row>
    <row r="94" spans="1:56" ht="13.5" customHeight="1">
      <c r="A94" s="29">
        <f>A92+6*C$7</f>
        <v>96</v>
      </c>
      <c r="B94" s="30">
        <f>AU18/A94</f>
        <v>50.429030972509224</v>
      </c>
      <c r="C94" s="30">
        <f>2*AV$1*A94+0.5*AV$2*A94^-0.5</f>
        <v>55.21451548625461</v>
      </c>
      <c r="D94" s="30">
        <f>(AU18-AU16)/(A94-A92)</f>
        <v>51.30686855109093</v>
      </c>
      <c r="E94" s="30"/>
      <c r="F94" s="30">
        <f>AV$6*3*A90^2</f>
        <v>13.034600413439676</v>
      </c>
      <c r="G94" s="30"/>
      <c r="H94" s="33"/>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row>
    <row r="95" spans="1:56" ht="13.5" customHeight="1">
      <c r="A95" s="29"/>
      <c r="B95" s="30"/>
      <c r="C95" s="30"/>
      <c r="D95" s="30"/>
      <c r="E95" s="30">
        <f>AV$6*A94^2+AV$7/A94</f>
        <v>50.49367992046343</v>
      </c>
      <c r="F95" s="30"/>
      <c r="G95" s="30">
        <f>(AV16-AV14)/(A92-A90)</f>
        <v>20.63811732127948</v>
      </c>
      <c r="H95" s="33"/>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row>
    <row r="96" spans="1:56" ht="13.5" customHeight="1">
      <c r="A96" s="29">
        <f>A94+6*C$7</f>
        <v>120</v>
      </c>
      <c r="B96" s="30">
        <f>AU20/A96</f>
        <v>52.21655269759086</v>
      </c>
      <c r="C96" s="30">
        <f>2*AV$1*A96+0.5*AV$2*A96^-0.5</f>
        <v>63.60827634879543</v>
      </c>
      <c r="D96" s="30">
        <f>(AU20-AU18)/(A96-A94)</f>
        <v>59.366639597917434</v>
      </c>
      <c r="E96" s="30"/>
      <c r="F96" s="30">
        <f>AV$6*3*A92^2</f>
        <v>29.327850930239272</v>
      </c>
      <c r="G96" s="30"/>
      <c r="H96" s="33"/>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row>
    <row r="97" spans="1:56" ht="13.5" customHeight="1">
      <c r="A97" s="29"/>
      <c r="B97" s="30"/>
      <c r="C97" s="30"/>
      <c r="D97" s="30"/>
      <c r="E97" s="30">
        <f>AV$6*A96^2+AV$7/A96</f>
        <v>53.646787690034415</v>
      </c>
      <c r="F97" s="30"/>
      <c r="G97" s="30">
        <f>(AV18-AV16)/(A94-A92)</f>
        <v>40.19001794143901</v>
      </c>
      <c r="H97" s="33"/>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row>
    <row r="98" spans="1:56" ht="13.5" customHeight="1">
      <c r="A98" s="29">
        <f>A96+6*C$7</f>
        <v>144</v>
      </c>
      <c r="B98" s="30">
        <f>AU22/A98</f>
        <v>54.84519974999766</v>
      </c>
      <c r="C98" s="30">
        <f>2*AV$1*A98+0.5*AV$2*A98^-0.5</f>
        <v>72.42259987499884</v>
      </c>
      <c r="D98" s="30">
        <f>(AU22-AU20)/(A98-A96)</f>
        <v>67.98843501203164</v>
      </c>
      <c r="E98" s="30"/>
      <c r="F98" s="30">
        <f>AV$6*3*A94^2</f>
        <v>52.138401653758706</v>
      </c>
      <c r="G98" s="30"/>
      <c r="H98" s="33"/>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row>
    <row r="99" spans="1:56" ht="13.5" customHeight="1">
      <c r="A99" s="29"/>
      <c r="B99" s="30"/>
      <c r="C99" s="30"/>
      <c r="D99" s="30"/>
      <c r="E99" s="30">
        <f>AV$6*A98^2+AV$7/A98</f>
        <v>61.17994304201494</v>
      </c>
      <c r="F99" s="30"/>
      <c r="G99" s="30">
        <f>(AV20-AV18)/(A96-A94)</f>
        <v>66.25921876831835</v>
      </c>
      <c r="H99" s="33"/>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row>
    <row r="100" spans="1:56" ht="13.5" customHeight="1">
      <c r="A100" s="29">
        <f>A98+6*C$7</f>
        <v>168</v>
      </c>
      <c r="B100" s="30">
        <f>AU24/A100</f>
        <v>58.00218531141181</v>
      </c>
      <c r="C100" s="30">
        <f>2*AV$1*A100+0.5*AV$2*A100^-0.5</f>
        <v>81.5010926557059</v>
      </c>
      <c r="D100" s="30">
        <f>(AU24-AU22)/(A100-A98)</f>
        <v>76.94409867989668</v>
      </c>
      <c r="E100" s="30"/>
      <c r="F100" s="30">
        <f>AV$6*3*A96^2</f>
        <v>81.46625258399798</v>
      </c>
      <c r="G100" s="30"/>
      <c r="H100" s="33"/>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row>
    <row r="101" spans="1:56" ht="13.5" customHeight="1">
      <c r="A101" s="24"/>
      <c r="B101" s="24"/>
      <c r="C101" s="24"/>
      <c r="D101" s="30"/>
      <c r="E101" s="30">
        <f>AV$6*A100^2+AV$7/A100</f>
        <v>72.14702561347517</v>
      </c>
      <c r="F101" s="30"/>
      <c r="G101" s="30">
        <f>(AV22-AV20)/(A98-A96)</f>
        <v>98.84571980191754</v>
      </c>
      <c r="H101" s="33"/>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row>
    <row r="102" spans="1:56" ht="13.5" customHeight="1">
      <c r="A102" s="23" t="s">
        <v>27</v>
      </c>
      <c r="B102" s="23"/>
      <c r="C102" s="23"/>
      <c r="D102" s="24"/>
      <c r="E102" s="24"/>
      <c r="F102" s="30">
        <f>AV$6*3*A98^2</f>
        <v>117.31140372095709</v>
      </c>
      <c r="G102" s="30"/>
      <c r="H102" s="33"/>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row>
    <row r="103" spans="1:56" ht="13.5" customHeight="1">
      <c r="A103" s="23" t="s">
        <v>35</v>
      </c>
      <c r="B103" s="23"/>
      <c r="C103" s="23"/>
      <c r="D103" s="23"/>
      <c r="E103" s="23"/>
      <c r="F103" s="30"/>
      <c r="G103" s="30">
        <f>(AV24-AV22)/(A100-A98)</f>
        <v>137.94952104223663</v>
      </c>
      <c r="H103" s="33"/>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row>
    <row r="104" spans="1:56" ht="13.5" customHeight="1">
      <c r="A104" s="32"/>
      <c r="B104" s="32"/>
      <c r="C104" s="32"/>
      <c r="D104" s="23"/>
      <c r="E104" s="23"/>
      <c r="F104" s="30">
        <f>AV$6*3*A100^2</f>
        <v>159.67385506463606</v>
      </c>
      <c r="G104" s="30"/>
      <c r="H104" s="33"/>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row>
    <row r="105" spans="1:56" ht="13.5" customHeight="1">
      <c r="A105" s="32"/>
      <c r="B105" s="32"/>
      <c r="C105" s="32"/>
      <c r="D105" s="32"/>
      <c r="E105" s="32"/>
      <c r="F105" s="24"/>
      <c r="G105" s="24"/>
      <c r="H105" s="33"/>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row>
    <row r="106" spans="1:56" ht="13.5" customHeight="1">
      <c r="A106" s="32"/>
      <c r="B106" s="32"/>
      <c r="C106" s="32"/>
      <c r="D106" s="32"/>
      <c r="E106" s="32"/>
      <c r="F106" s="23"/>
      <c r="G106" s="23"/>
      <c r="H106" s="23"/>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row>
    <row r="107" spans="1:56" ht="13.5" customHeight="1">
      <c r="A107" s="32"/>
      <c r="B107" s="32"/>
      <c r="C107" s="32"/>
      <c r="D107" s="32"/>
      <c r="E107" s="32"/>
      <c r="F107" s="23"/>
      <c r="G107" s="23"/>
      <c r="H107" s="23"/>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row>
    <row r="108" spans="1:56" ht="13.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row>
    <row r="109" spans="1:56" ht="13.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row>
    <row r="110" spans="1:56" ht="13.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row>
    <row r="111" spans="1:56" ht="13.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row>
    <row r="112" spans="1:56" ht="13.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row>
    <row r="113" spans="1:56" ht="13.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row>
    <row r="114" spans="1:56" ht="13.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row>
    <row r="115" spans="1:56" ht="13.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row>
    <row r="116" spans="1:56" ht="13.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row>
    <row r="117" spans="1:56" ht="13.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row>
    <row r="118" spans="1:56" ht="13.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row>
    <row r="119" spans="1:56" ht="13.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row>
    <row r="120" spans="1:56" ht="13.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row>
    <row r="121" spans="1:56" ht="13.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row>
    <row r="122" spans="1:56" ht="13.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row>
    <row r="123" spans="1:56" ht="13.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row>
    <row r="124" spans="1:56" ht="13.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row>
    <row r="125" spans="1:56" ht="13.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row>
    <row r="126" spans="1:56" ht="13.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row>
    <row r="127" spans="1:56" ht="13.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row>
    <row r="128" spans="1:56" ht="13.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row>
    <row r="129" spans="1:56" ht="13.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row>
    <row r="130" spans="1:56" ht="13.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row>
    <row r="131" spans="1:56" ht="13.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row>
    <row r="132" spans="1:56" ht="13.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row>
    <row r="133" spans="1:56" ht="13.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row>
    <row r="134" spans="1:56" ht="13.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row>
    <row r="135" spans="1:56" ht="13.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row>
    <row r="136" spans="1:56" ht="13.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row>
    <row r="137" spans="1:56" ht="13.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row>
    <row r="138" spans="1:56" ht="13.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row>
    <row r="139" spans="1:56" ht="13.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row>
    <row r="140" spans="1:56" ht="13.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row>
    <row r="141" spans="1:56" ht="13.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row>
    <row r="142" spans="1:56" ht="13.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row>
    <row r="143" spans="1:56" ht="13.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row>
    <row r="144" spans="1:56" ht="13.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row>
    <row r="145" spans="1:56" ht="13.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row>
    <row r="146" spans="1:56" ht="13.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row>
    <row r="147" spans="4:56" ht="13.5" customHeight="1">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row>
    <row r="148" spans="6:56" ht="13.5" customHeight="1">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row>
    <row r="149" spans="6:56" ht="13.5" customHeight="1">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row>
    <row r="150" spans="6:56" ht="13.5" customHeight="1">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row>
  </sheetData>
  <mergeCells count="19">
    <mergeCell ref="A3:B3"/>
    <mergeCell ref="A4:B4"/>
    <mergeCell ref="A5:B5"/>
    <mergeCell ref="A1:F1"/>
    <mergeCell ref="A6:B6"/>
    <mergeCell ref="A11:B11"/>
    <mergeCell ref="A15:B15"/>
    <mergeCell ref="AW1:AX1"/>
    <mergeCell ref="AU4:AX4"/>
    <mergeCell ref="AW5:AX5"/>
    <mergeCell ref="AW6:AX6"/>
    <mergeCell ref="A10:B10"/>
    <mergeCell ref="A12:B12"/>
    <mergeCell ref="A13:B13"/>
    <mergeCell ref="A16:B16"/>
    <mergeCell ref="A17:B17"/>
    <mergeCell ref="A18:B18"/>
    <mergeCell ref="A7:B7"/>
    <mergeCell ref="A14:B14"/>
  </mergeCells>
  <printOptions/>
  <pageMargins left="0.25" right="0" top="1" bottom="1" header="0.5" footer="0.5"/>
  <pageSetup horizontalDpi="600" verticalDpi="600" orientation="landscape" r:id="rId3"/>
  <drawing r:id="rId2"/>
  <legacyDrawing r:id="rId1"/>
</worksheet>
</file>

<file path=xl/worksheets/sheet8.xml><?xml version="1.0" encoding="utf-8"?>
<worksheet xmlns="http://schemas.openxmlformats.org/spreadsheetml/2006/main" xmlns:r="http://schemas.openxmlformats.org/officeDocument/2006/relationships">
  <sheetPr codeName="Sheet3"/>
  <dimension ref="A1:AG56"/>
  <sheetViews>
    <sheetView workbookViewId="0" topLeftCell="A1">
      <selection activeCell="H19" sqref="H19"/>
    </sheetView>
  </sheetViews>
  <sheetFormatPr defaultColWidth="9.140625" defaultRowHeight="15"/>
  <cols>
    <col min="2" max="2" width="14.00390625" style="0" customWidth="1"/>
    <col min="27" max="27" width="10.28125" style="0" customWidth="1"/>
  </cols>
  <sheetData>
    <row r="1" ht="15">
      <c r="A1" s="1" t="s">
        <v>0</v>
      </c>
    </row>
    <row r="2" spans="1:33" s="2" customFormat="1" ht="12.75">
      <c r="A2" s="2" t="s">
        <v>1</v>
      </c>
      <c r="B2" s="2">
        <v>80</v>
      </c>
      <c r="C2" s="2" t="s">
        <v>2</v>
      </c>
      <c r="F2" s="2" t="s">
        <v>3</v>
      </c>
      <c r="AA2" s="2" t="s">
        <v>4</v>
      </c>
      <c r="AB2" s="2" t="s">
        <v>5</v>
      </c>
      <c r="AC2" s="2" t="s">
        <v>6</v>
      </c>
      <c r="AD2" s="2" t="s">
        <v>7</v>
      </c>
      <c r="AE2" s="2" t="s">
        <v>8</v>
      </c>
      <c r="AF2" s="2" t="s">
        <v>9</v>
      </c>
      <c r="AG2" s="2" t="s">
        <v>10</v>
      </c>
    </row>
    <row r="3" spans="1:31" s="2" customFormat="1" ht="12.75">
      <c r="A3" s="2" t="s">
        <v>11</v>
      </c>
      <c r="B3" s="2">
        <v>50</v>
      </c>
      <c r="C3" s="2" t="s">
        <v>12</v>
      </c>
      <c r="F3" s="2" t="s">
        <v>3</v>
      </c>
      <c r="AA3" s="2">
        <v>0</v>
      </c>
      <c r="AB3" s="2">
        <f aca="true" t="shared" si="0" ref="AB3:AB34">B$4*AA3^2+B$5*AA3^0.5</f>
        <v>0</v>
      </c>
      <c r="AC3" s="2">
        <f aca="true" t="shared" si="1" ref="AC3:AC34">B$10*AA3^3+B$11</f>
        <v>1682.4595137478832</v>
      </c>
      <c r="AE3" s="2">
        <f aca="true" t="shared" si="2" ref="AE3:AE34">3*B$10*AA3^2</f>
        <v>0</v>
      </c>
    </row>
    <row r="4" spans="1:33" s="2" customFormat="1" ht="12.75">
      <c r="A4" s="2" t="s">
        <v>13</v>
      </c>
      <c r="B4" s="2">
        <f>B3/(3*B2)</f>
        <v>0.20833333333333334</v>
      </c>
      <c r="C4" s="2" t="s">
        <v>14</v>
      </c>
      <c r="AA4" s="3">
        <f aca="true" t="shared" si="3" ref="AA4:AA23">AA3+0.25</f>
        <v>0.25</v>
      </c>
      <c r="AB4" s="2">
        <f t="shared" si="0"/>
        <v>149.0842193333193</v>
      </c>
      <c r="AC4" s="2">
        <f t="shared" si="1"/>
        <v>1682.4596447273516</v>
      </c>
      <c r="AD4" s="2">
        <f aca="true" t="shared" si="4" ref="AD4:AD35">2*B$4*AA4+0.5*B$5*AA4^-0.5</f>
        <v>298.2465636666386</v>
      </c>
      <c r="AE4" s="2">
        <f t="shared" si="2"/>
        <v>0.0015717536213366505</v>
      </c>
      <c r="AF4" s="2">
        <f aca="true" t="shared" si="5" ref="AF4:AF35">B$10*AA4^2+B$11/AA4</f>
        <v>6729.838578909406</v>
      </c>
      <c r="AG4" s="2">
        <f aca="true" t="shared" si="6" ref="AG4:AG35">B$4*AA4+B$5*AA4^-0.5</f>
        <v>596.3368773332772</v>
      </c>
    </row>
    <row r="5" spans="1:33" s="2" customFormat="1" ht="12.75">
      <c r="A5" s="2" t="s">
        <v>15</v>
      </c>
      <c r="B5" s="2">
        <f>(B3-B4*B2)*B2^0.5</f>
        <v>298.14239699997194</v>
      </c>
      <c r="C5" s="2" t="s">
        <v>16</v>
      </c>
      <c r="AA5" s="3">
        <f t="shared" si="3"/>
        <v>0.5</v>
      </c>
      <c r="AB5" s="2">
        <f t="shared" si="0"/>
        <v>210.8705940112253</v>
      </c>
      <c r="AC5" s="2">
        <f t="shared" si="1"/>
        <v>1682.4605615836308</v>
      </c>
      <c r="AD5" s="2">
        <f t="shared" si="4"/>
        <v>211.02684401122525</v>
      </c>
      <c r="AE5" s="2">
        <f t="shared" si="2"/>
        <v>0.006287014485346602</v>
      </c>
      <c r="AF5" s="2">
        <f t="shared" si="5"/>
        <v>3364.9211231672616</v>
      </c>
      <c r="AG5" s="2">
        <f t="shared" si="6"/>
        <v>421.7411880224505</v>
      </c>
    </row>
    <row r="6" spans="27:33" s="2" customFormat="1" ht="12.75">
      <c r="AA6" s="3">
        <f t="shared" si="3"/>
        <v>0.75</v>
      </c>
      <c r="AB6" s="2">
        <f t="shared" si="0"/>
        <v>258.3160772471611</v>
      </c>
      <c r="AC6" s="2">
        <f t="shared" si="1"/>
        <v>1682.4630501935312</v>
      </c>
      <c r="AD6" s="2">
        <f t="shared" si="4"/>
        <v>172.4450931647741</v>
      </c>
      <c r="AE6" s="2">
        <f t="shared" si="2"/>
        <v>0.014145782592029855</v>
      </c>
      <c r="AF6" s="2">
        <f t="shared" si="5"/>
        <v>2243.2840669247084</v>
      </c>
      <c r="AG6" s="2">
        <f t="shared" si="6"/>
        <v>344.4214363295482</v>
      </c>
    </row>
    <row r="7" spans="1:33" s="2" customFormat="1" ht="14.25">
      <c r="A7" s="2" t="s">
        <v>62</v>
      </c>
      <c r="B7" s="2">
        <v>40</v>
      </c>
      <c r="C7" s="2" t="s">
        <v>17</v>
      </c>
      <c r="AA7" s="3">
        <f t="shared" si="3"/>
        <v>1</v>
      </c>
      <c r="AB7" s="2">
        <f t="shared" si="0"/>
        <v>298.35073033330525</v>
      </c>
      <c r="AC7" s="2">
        <f t="shared" si="1"/>
        <v>1682.4678964338636</v>
      </c>
      <c r="AD7" s="2">
        <f t="shared" si="4"/>
        <v>149.48786516665263</v>
      </c>
      <c r="AE7" s="2">
        <f t="shared" si="2"/>
        <v>0.025148057941386408</v>
      </c>
      <c r="AF7" s="2">
        <f t="shared" si="5"/>
        <v>1682.4678964338636</v>
      </c>
      <c r="AG7" s="2">
        <f t="shared" si="6"/>
        <v>298.35073033330525</v>
      </c>
    </row>
    <row r="8" spans="1:33" s="2" customFormat="1" ht="14.25">
      <c r="A8" s="2" t="s">
        <v>63</v>
      </c>
      <c r="B8" s="2">
        <f>B4*B7+B5*B7^-0.5</f>
        <v>55.4737854124365</v>
      </c>
      <c r="C8" s="2" t="s">
        <v>18</v>
      </c>
      <c r="AA8" s="3">
        <f t="shared" si="3"/>
        <v>1.25</v>
      </c>
      <c r="AB8" s="2">
        <f t="shared" si="0"/>
        <v>333.65885416666663</v>
      </c>
      <c r="AC8" s="2">
        <f t="shared" si="1"/>
        <v>1682.4758861814387</v>
      </c>
      <c r="AD8" s="2">
        <f t="shared" si="4"/>
        <v>133.85416666666666</v>
      </c>
      <c r="AE8" s="2">
        <f t="shared" si="2"/>
        <v>0.03929384053341626</v>
      </c>
      <c r="AF8" s="2">
        <f t="shared" si="5"/>
        <v>1345.980708945151</v>
      </c>
      <c r="AG8" s="2">
        <f t="shared" si="6"/>
        <v>266.9270833333333</v>
      </c>
    </row>
    <row r="9" spans="1:33" s="2" customFormat="1" ht="12.75">
      <c r="A9" s="2" t="s">
        <v>19</v>
      </c>
      <c r="B9" s="2">
        <f>2*B4*B7+0.5*B5*B7^-0.5</f>
        <v>40.23689270621825</v>
      </c>
      <c r="C9" s="2" t="s">
        <v>20</v>
      </c>
      <c r="AA9" s="3">
        <f t="shared" si="3"/>
        <v>1.5</v>
      </c>
      <c r="AB9" s="2">
        <f t="shared" si="0"/>
        <v>365.6171216701107</v>
      </c>
      <c r="AC9" s="2">
        <f t="shared" si="1"/>
        <v>1682.4878053130672</v>
      </c>
      <c r="AD9" s="2">
        <f t="shared" si="4"/>
        <v>122.34112389003693</v>
      </c>
      <c r="AE9" s="2">
        <f t="shared" si="2"/>
        <v>0.05658313036811942</v>
      </c>
      <c r="AF9" s="2">
        <f t="shared" si="5"/>
        <v>1121.6585368753783</v>
      </c>
      <c r="AG9" s="2">
        <f t="shared" si="6"/>
        <v>243.74474778007385</v>
      </c>
    </row>
    <row r="10" spans="1:33" s="2" customFormat="1" ht="12.75">
      <c r="A10" s="2" t="s">
        <v>21</v>
      </c>
      <c r="B10" s="2">
        <f>B9/(3*B7^2)</f>
        <v>0.008382685980462136</v>
      </c>
      <c r="C10" s="2" t="s">
        <v>14</v>
      </c>
      <c r="AA10" s="3">
        <f t="shared" si="3"/>
        <v>1.75</v>
      </c>
      <c r="AB10" s="2">
        <f t="shared" si="0"/>
        <v>395.04333970664106</v>
      </c>
      <c r="AC10" s="2">
        <f t="shared" si="1"/>
        <v>1682.5044397055597</v>
      </c>
      <c r="AD10" s="2">
        <f t="shared" si="4"/>
        <v>113.41640063046886</v>
      </c>
      <c r="AE10" s="2">
        <f t="shared" si="2"/>
        <v>0.07701592744549587</v>
      </c>
      <c r="AF10" s="2">
        <f t="shared" si="5"/>
        <v>961.431108403177</v>
      </c>
      <c r="AG10" s="2">
        <f t="shared" si="6"/>
        <v>225.7390512609377</v>
      </c>
    </row>
    <row r="11" spans="1:33" s="2" customFormat="1" ht="12.75">
      <c r="A11" s="2" t="s">
        <v>22</v>
      </c>
      <c r="B11" s="2">
        <f>B7*B8-B10*B7^3</f>
        <v>1682.4595137478832</v>
      </c>
      <c r="C11" s="2" t="s">
        <v>23</v>
      </c>
      <c r="AA11" s="3">
        <f t="shared" si="3"/>
        <v>2</v>
      </c>
      <c r="AB11" s="2">
        <f t="shared" si="0"/>
        <v>422.47035468911724</v>
      </c>
      <c r="AC11" s="2">
        <f t="shared" si="1"/>
        <v>1682.5265752357268</v>
      </c>
      <c r="AD11" s="2">
        <f t="shared" si="4"/>
        <v>106.24258867227928</v>
      </c>
      <c r="AE11" s="2">
        <f t="shared" si="2"/>
        <v>0.10059223176554563</v>
      </c>
      <c r="AF11" s="2">
        <f t="shared" si="5"/>
        <v>841.2632876178634</v>
      </c>
      <c r="AG11" s="2">
        <f t="shared" si="6"/>
        <v>211.23517734455856</v>
      </c>
    </row>
    <row r="12" spans="27:33" s="2" customFormat="1" ht="12.75">
      <c r="AA12" s="3">
        <f t="shared" si="3"/>
        <v>2.25</v>
      </c>
      <c r="AB12" s="2">
        <f t="shared" si="0"/>
        <v>448.26828299995793</v>
      </c>
      <c r="AC12" s="2">
        <f t="shared" si="1"/>
        <v>1682.5549977803794</v>
      </c>
      <c r="AD12" s="2">
        <f t="shared" si="4"/>
        <v>100.31829899999065</v>
      </c>
      <c r="AE12" s="2">
        <f t="shared" si="2"/>
        <v>0.12731204332826868</v>
      </c>
      <c r="AF12" s="2">
        <f t="shared" si="5"/>
        <v>747.8022212357241</v>
      </c>
      <c r="AG12" s="2">
        <f t="shared" si="6"/>
        <v>199.2303479999813</v>
      </c>
    </row>
    <row r="13" spans="1:33" s="2" customFormat="1" ht="12.75">
      <c r="A13" s="2" t="s">
        <v>24</v>
      </c>
      <c r="C13" s="2">
        <v>4</v>
      </c>
      <c r="D13" s="2" t="s">
        <v>25</v>
      </c>
      <c r="F13" s="2">
        <f>5+33*C13</f>
        <v>137</v>
      </c>
      <c r="AA13" s="3">
        <f t="shared" si="3"/>
        <v>2.5</v>
      </c>
      <c r="AB13" s="2">
        <f t="shared" si="0"/>
        <v>472.706604124365</v>
      </c>
      <c r="AC13" s="2">
        <f t="shared" si="1"/>
        <v>1682.590493216328</v>
      </c>
      <c r="AD13" s="2">
        <f t="shared" si="4"/>
        <v>95.322570824873</v>
      </c>
      <c r="AE13" s="2">
        <f t="shared" si="2"/>
        <v>0.15717536213366504</v>
      </c>
      <c r="AF13" s="2">
        <f t="shared" si="5"/>
        <v>673.0361972865312</v>
      </c>
      <c r="AG13" s="2">
        <f t="shared" si="6"/>
        <v>189.082641649746</v>
      </c>
    </row>
    <row r="14" spans="27:33" s="2" customFormat="1" ht="12.75">
      <c r="AA14" s="3">
        <f t="shared" si="3"/>
        <v>2.75</v>
      </c>
      <c r="AB14" s="2">
        <f t="shared" si="0"/>
        <v>495.9887533063775</v>
      </c>
      <c r="AC14" s="2">
        <f t="shared" si="1"/>
        <v>1682.633847420383</v>
      </c>
      <c r="AD14" s="2">
        <f t="shared" si="4"/>
        <v>91.03914832843226</v>
      </c>
      <c r="AE14" s="2">
        <f t="shared" si="2"/>
        <v>0.1901821881817347</v>
      </c>
      <c r="AF14" s="2">
        <f t="shared" si="5"/>
        <v>611.866853607412</v>
      </c>
      <c r="AG14" s="2">
        <f t="shared" si="6"/>
        <v>180.35954665686452</v>
      </c>
    </row>
    <row r="15" spans="1:33" s="2" customFormat="1" ht="12.75">
      <c r="A15" s="2" t="s">
        <v>4</v>
      </c>
      <c r="B15" s="2" t="s">
        <v>5</v>
      </c>
      <c r="C15" s="2" t="s">
        <v>10</v>
      </c>
      <c r="D15" s="2" t="s">
        <v>26</v>
      </c>
      <c r="E15" s="2" t="s">
        <v>7</v>
      </c>
      <c r="AA15" s="3">
        <f t="shared" si="3"/>
        <v>3</v>
      </c>
      <c r="AB15" s="2">
        <f t="shared" si="0"/>
        <v>518.2727794943222</v>
      </c>
      <c r="AC15" s="2">
        <f t="shared" si="1"/>
        <v>1682.6858462693556</v>
      </c>
      <c r="AD15" s="2">
        <f t="shared" si="4"/>
        <v>87.31629658238705</v>
      </c>
      <c r="AE15" s="2">
        <f t="shared" si="2"/>
        <v>0.22633252147247768</v>
      </c>
      <c r="AF15" s="2">
        <f t="shared" si="5"/>
        <v>560.8952820897853</v>
      </c>
      <c r="AG15" s="2">
        <f t="shared" si="6"/>
        <v>172.7575931647741</v>
      </c>
    </row>
    <row r="16" spans="1:33" s="2" customFormat="1" ht="12.75">
      <c r="A16" s="2">
        <v>0</v>
      </c>
      <c r="B16" s="2">
        <f>B$4*A16^2+B$5*A16^0.5</f>
        <v>0</v>
      </c>
      <c r="AA16" s="3">
        <f t="shared" si="3"/>
        <v>3.25</v>
      </c>
      <c r="AB16" s="2">
        <f t="shared" si="0"/>
        <v>539.6843707199033</v>
      </c>
      <c r="AC16" s="2">
        <f t="shared" si="1"/>
        <v>1682.7472756400562</v>
      </c>
      <c r="AD16" s="2">
        <f t="shared" si="4"/>
        <v>84.04398972613897</v>
      </c>
      <c r="AE16" s="2">
        <f t="shared" si="2"/>
        <v>0.26562636200589396</v>
      </c>
      <c r="AF16" s="2">
        <f t="shared" si="5"/>
        <v>517.7683925046327</v>
      </c>
      <c r="AG16" s="2">
        <f t="shared" si="6"/>
        <v>166.05672945227795</v>
      </c>
    </row>
    <row r="17" spans="5:33" s="2" customFormat="1" ht="12.75">
      <c r="E17" s="2">
        <f>(B18-B16)/(A18-A16)</f>
        <v>70.83333333333333</v>
      </c>
      <c r="AA17" s="3">
        <f t="shared" si="3"/>
        <v>3.5</v>
      </c>
      <c r="AB17" s="2">
        <f t="shared" si="0"/>
        <v>560.3254343560503</v>
      </c>
      <c r="AC17" s="2">
        <f t="shared" si="1"/>
        <v>1682.8189214092954</v>
      </c>
      <c r="AD17" s="2">
        <f t="shared" si="4"/>
        <v>81.14024062229291</v>
      </c>
      <c r="AE17" s="2">
        <f t="shared" si="2"/>
        <v>0.3080637097819835</v>
      </c>
      <c r="AF17" s="2">
        <f t="shared" si="5"/>
        <v>480.8054061169416</v>
      </c>
      <c r="AG17" s="2">
        <f t="shared" si="6"/>
        <v>160.09298124458581</v>
      </c>
    </row>
    <row r="18" spans="1:33" s="2" customFormat="1" ht="12.75">
      <c r="A18" s="2">
        <f>A16+5*C$13</f>
        <v>20</v>
      </c>
      <c r="B18" s="2">
        <f>B$4*A18^2+B$5*A18^0.5</f>
        <v>1416.6666666666665</v>
      </c>
      <c r="C18" s="2">
        <f>B18/A18</f>
        <v>70.83333333333333</v>
      </c>
      <c r="D18" s="2">
        <f>2*B$4*A18+0.5*B$5*A18^-0.5</f>
        <v>41.666666666666664</v>
      </c>
      <c r="AA18" s="3">
        <f t="shared" si="3"/>
        <v>3.75</v>
      </c>
      <c r="AB18" s="2">
        <f t="shared" si="0"/>
        <v>580.2799566896257</v>
      </c>
      <c r="AC18" s="2">
        <f t="shared" si="1"/>
        <v>1682.9015694538841</v>
      </c>
      <c r="AD18" s="2">
        <f t="shared" si="4"/>
        <v>78.54253589195008</v>
      </c>
      <c r="AE18" s="2">
        <f t="shared" si="2"/>
        <v>0.35364456480074635</v>
      </c>
      <c r="AF18" s="2">
        <f t="shared" si="5"/>
        <v>448.7737518543691</v>
      </c>
      <c r="AG18" s="2">
        <f t="shared" si="6"/>
        <v>154.74132178390016</v>
      </c>
    </row>
    <row r="19" spans="5:33" s="2" customFormat="1" ht="12.75">
      <c r="E19" s="2">
        <f>(B20-B18)/(A20-A18)</f>
        <v>40.11423749153969</v>
      </c>
      <c r="AA19" s="3">
        <f t="shared" si="3"/>
        <v>4</v>
      </c>
      <c r="AB19" s="2">
        <f t="shared" si="0"/>
        <v>599.6181273332772</v>
      </c>
      <c r="AC19" s="2">
        <f t="shared" si="1"/>
        <v>1682.9960056506327</v>
      </c>
      <c r="AD19" s="2">
        <f t="shared" si="4"/>
        <v>76.20226591665966</v>
      </c>
      <c r="AE19" s="2">
        <f t="shared" si="2"/>
        <v>0.4023689270621825</v>
      </c>
      <c r="AF19" s="2">
        <f t="shared" si="5"/>
        <v>420.7490014126582</v>
      </c>
      <c r="AG19" s="2">
        <f t="shared" si="6"/>
        <v>149.9045318333193</v>
      </c>
    </row>
    <row r="20" spans="1:33" s="2" customFormat="1" ht="12.75">
      <c r="A20" s="2">
        <f>A18+5*C$13</f>
        <v>40</v>
      </c>
      <c r="B20" s="2">
        <f>B$4*A20^2+B$5*A20^0.5</f>
        <v>2218.9514164974603</v>
      </c>
      <c r="C20" s="2">
        <f>B20/A20</f>
        <v>55.473785412436506</v>
      </c>
      <c r="D20" s="2">
        <f>2*B$4*A20+0.5*B$5*A20^-0.5</f>
        <v>40.23689270621825</v>
      </c>
      <c r="AA20" s="3">
        <f t="shared" si="3"/>
        <v>4.25</v>
      </c>
      <c r="AB20" s="2">
        <f t="shared" si="0"/>
        <v>618.3993179861925</v>
      </c>
      <c r="AC20" s="2">
        <f t="shared" si="1"/>
        <v>1683.1030158763522</v>
      </c>
      <c r="AD20" s="2">
        <f t="shared" si="4"/>
        <v>74.08098593955205</v>
      </c>
      <c r="AE20" s="2">
        <f t="shared" si="2"/>
        <v>0.454236796566292</v>
      </c>
      <c r="AF20" s="2">
        <f t="shared" si="5"/>
        <v>396.02423902972987</v>
      </c>
      <c r="AG20" s="2">
        <f t="shared" si="6"/>
        <v>145.5057218791041</v>
      </c>
    </row>
    <row r="21" spans="5:33" s="2" customFormat="1" ht="12.75">
      <c r="E21" s="2">
        <f>(B22-B20)/(A22-A20)</f>
        <v>42.022483013052124</v>
      </c>
      <c r="AA21" s="3">
        <f t="shared" si="3"/>
        <v>4.5</v>
      </c>
      <c r="AB21" s="2">
        <f t="shared" si="0"/>
        <v>636.6742820336758</v>
      </c>
      <c r="AC21" s="2">
        <f t="shared" si="1"/>
        <v>1683.2233860078527</v>
      </c>
      <c r="AD21" s="2">
        <f t="shared" si="4"/>
        <v>72.14783689263065</v>
      </c>
      <c r="AE21" s="2">
        <f t="shared" si="2"/>
        <v>0.5092481733130747</v>
      </c>
      <c r="AF21" s="2">
        <f t="shared" si="5"/>
        <v>374.0496413350784</v>
      </c>
      <c r="AG21" s="2">
        <f t="shared" si="6"/>
        <v>141.4831737852613</v>
      </c>
    </row>
    <row r="22" spans="1:33" s="2" customFormat="1" ht="12.75">
      <c r="A22" s="2">
        <f>A20+5*C$13</f>
        <v>60</v>
      </c>
      <c r="B22" s="2">
        <f>B$4*A22^2+B$5*A22^0.5</f>
        <v>3059.4010767585028</v>
      </c>
      <c r="C22" s="2">
        <f>B22/A22</f>
        <v>50.99001794597505</v>
      </c>
      <c r="D22" s="2">
        <f>2*B$4*A22+0.5*B$5*A22^-0.5</f>
        <v>44.24500897298752</v>
      </c>
      <c r="AA22" s="3">
        <f t="shared" si="3"/>
        <v>4.75</v>
      </c>
      <c r="AB22" s="2">
        <f t="shared" si="0"/>
        <v>654.4868104872643</v>
      </c>
      <c r="AC22" s="2">
        <f t="shared" si="1"/>
        <v>1683.3579019219455</v>
      </c>
      <c r="AD22" s="2">
        <f t="shared" si="4"/>
        <v>70.3777234723436</v>
      </c>
      <c r="AE22" s="2">
        <f t="shared" si="2"/>
        <v>0.5674030573025308</v>
      </c>
      <c r="AF22" s="2">
        <f t="shared" si="5"/>
        <v>354.39113724672535</v>
      </c>
      <c r="AG22" s="2">
        <f t="shared" si="6"/>
        <v>137.7866969446872</v>
      </c>
    </row>
    <row r="23" spans="5:33" s="2" customFormat="1" ht="12.75">
      <c r="E23" s="2">
        <f>(B24-B22)/(A24-A22)</f>
        <v>47.029946162074864</v>
      </c>
      <c r="AA23" s="3">
        <f t="shared" si="3"/>
        <v>5</v>
      </c>
      <c r="AB23" s="2">
        <f t="shared" si="0"/>
        <v>671.875</v>
      </c>
      <c r="AC23" s="2">
        <f t="shared" si="1"/>
        <v>1683.5073494954408</v>
      </c>
      <c r="AD23" s="2">
        <f t="shared" si="4"/>
        <v>68.74999999999999</v>
      </c>
      <c r="AE23" s="2">
        <f t="shared" si="2"/>
        <v>0.6287014485346601</v>
      </c>
      <c r="AF23" s="2">
        <f t="shared" si="5"/>
        <v>336.7014698990882</v>
      </c>
      <c r="AG23" s="2">
        <f t="shared" si="6"/>
        <v>134.37499999999997</v>
      </c>
    </row>
    <row r="24" spans="1:33" s="2" customFormat="1" ht="12.75">
      <c r="A24" s="2">
        <f>A22+5*C$13</f>
        <v>80</v>
      </c>
      <c r="B24" s="2">
        <f>B$4*A24^2+B$5*A24^0.5</f>
        <v>4000</v>
      </c>
      <c r="C24" s="2">
        <f>B24/A24</f>
        <v>50</v>
      </c>
      <c r="D24" s="2">
        <f>2*B$4*A24+0.5*B$5*A24^-0.5</f>
        <v>50</v>
      </c>
      <c r="AA24" s="3">
        <f aca="true" t="shared" si="7" ref="AA24:AA56">AA23+$C$13</f>
        <v>9</v>
      </c>
      <c r="AB24" s="2">
        <f t="shared" si="0"/>
        <v>911.3021909999159</v>
      </c>
      <c r="AC24" s="2">
        <f t="shared" si="1"/>
        <v>1688.5704918276401</v>
      </c>
      <c r="AD24" s="2">
        <f t="shared" si="4"/>
        <v>53.44039949999532</v>
      </c>
      <c r="AE24" s="2">
        <f t="shared" si="2"/>
        <v>2.036992693252299</v>
      </c>
      <c r="AF24" s="2">
        <f t="shared" si="5"/>
        <v>187.61894353640446</v>
      </c>
      <c r="AG24" s="2">
        <f t="shared" si="6"/>
        <v>101.25579899999065</v>
      </c>
    </row>
    <row r="25" spans="5:33" s="2" customFormat="1" ht="12.75">
      <c r="E25" s="2">
        <f>(B26-B24)/(A26-A24)</f>
        <v>53.23786516665264</v>
      </c>
      <c r="AA25" s="3">
        <f t="shared" si="7"/>
        <v>13</v>
      </c>
      <c r="AB25" s="2">
        <f t="shared" si="0"/>
        <v>1110.1760331064731</v>
      </c>
      <c r="AC25" s="2">
        <f t="shared" si="1"/>
        <v>1700.8762748469585</v>
      </c>
      <c r="AD25" s="2">
        <f t="shared" si="4"/>
        <v>46.761578196402816</v>
      </c>
      <c r="AE25" s="2">
        <f t="shared" si="2"/>
        <v>4.250021792094303</v>
      </c>
      <c r="AF25" s="2">
        <f t="shared" si="5"/>
        <v>130.83663652668912</v>
      </c>
      <c r="AG25" s="2">
        <f t="shared" si="6"/>
        <v>85.39815639280563</v>
      </c>
    </row>
    <row r="26" spans="1:33" s="2" customFormat="1" ht="12.75">
      <c r="A26" s="2">
        <f>A24+5*C$13</f>
        <v>100</v>
      </c>
      <c r="B26" s="2">
        <f>B$4*A26^2+B$5*A26^0.5</f>
        <v>5064.757303333053</v>
      </c>
      <c r="C26" s="2">
        <f>B26/A26</f>
        <v>50.64757303333053</v>
      </c>
      <c r="D26" s="2">
        <f>2*B$4*A26+0.5*B$5*A26^-0.5</f>
        <v>56.573786516665265</v>
      </c>
      <c r="AA26" s="3">
        <f t="shared" si="7"/>
        <v>17</v>
      </c>
      <c r="AB26" s="2">
        <f t="shared" si="0"/>
        <v>1289.4809276390515</v>
      </c>
      <c r="AC26" s="2">
        <f t="shared" si="1"/>
        <v>1723.6436499698937</v>
      </c>
      <c r="AD26" s="2">
        <f t="shared" si="4"/>
        <v>43.2384096364427</v>
      </c>
      <c r="AE26" s="2">
        <f t="shared" si="2"/>
        <v>7.267788745060672</v>
      </c>
      <c r="AF26" s="2">
        <f t="shared" si="5"/>
        <v>101.3908029394055</v>
      </c>
      <c r="AG26" s="2">
        <f t="shared" si="6"/>
        <v>75.8518192728854</v>
      </c>
    </row>
    <row r="27" spans="5:33" s="2" customFormat="1" ht="12.75">
      <c r="E27" s="2">
        <f>(B28-B26)/(A28-A26)</f>
        <v>60.061451018892555</v>
      </c>
      <c r="AA27" s="3">
        <f t="shared" si="7"/>
        <v>21</v>
      </c>
      <c r="AB27" s="2">
        <f t="shared" si="0"/>
        <v>1458.1351021279463</v>
      </c>
      <c r="AC27" s="2">
        <f t="shared" si="1"/>
        <v>1760.091568612943</v>
      </c>
      <c r="AD27" s="2">
        <f t="shared" si="4"/>
        <v>41.280002431617774</v>
      </c>
      <c r="AE27" s="2">
        <f t="shared" si="2"/>
        <v>11.090293552151406</v>
      </c>
      <c r="AF27" s="2">
        <f t="shared" si="5"/>
        <v>83.81388421966395</v>
      </c>
      <c r="AG27" s="2">
        <f t="shared" si="6"/>
        <v>69.43500486323555</v>
      </c>
    </row>
    <row r="28" spans="1:33" s="2" customFormat="1" ht="12.75">
      <c r="A28" s="2">
        <f>A26+5*C$13</f>
        <v>120</v>
      </c>
      <c r="B28" s="2">
        <f>B$4*A28^2+B$5*A28^0.5</f>
        <v>6265.986323710904</v>
      </c>
      <c r="C28" s="2">
        <f>B28/A28</f>
        <v>52.21655269759086</v>
      </c>
      <c r="D28" s="2">
        <f>2*B$4*A28+0.5*B$5*A28^-0.5</f>
        <v>63.60827634879543</v>
      </c>
      <c r="AA28" s="3">
        <f t="shared" si="7"/>
        <v>25</v>
      </c>
      <c r="AB28" s="2">
        <f t="shared" si="0"/>
        <v>1620.9203183331929</v>
      </c>
      <c r="AC28" s="2">
        <f t="shared" si="1"/>
        <v>1813.438982192604</v>
      </c>
      <c r="AD28" s="2">
        <f t="shared" si="4"/>
        <v>40.23090636666386</v>
      </c>
      <c r="AE28" s="2">
        <f t="shared" si="2"/>
        <v>15.717536213366504</v>
      </c>
      <c r="AF28" s="2">
        <f t="shared" si="5"/>
        <v>72.53755928770416</v>
      </c>
      <c r="AG28" s="2">
        <f t="shared" si="6"/>
        <v>64.83681273332772</v>
      </c>
    </row>
    <row r="29" spans="5:33" s="2" customFormat="1" ht="12.75">
      <c r="E29" s="2">
        <f>(B30-B28)/(A30-A28)</f>
        <v>67.25077121876083</v>
      </c>
      <c r="AA29" s="3">
        <f t="shared" si="7"/>
        <v>29</v>
      </c>
      <c r="AB29" s="2">
        <f t="shared" si="0"/>
        <v>1780.7542771723058</v>
      </c>
      <c r="AC29" s="2">
        <f t="shared" si="1"/>
        <v>1886.9048421253742</v>
      </c>
      <c r="AD29" s="2">
        <f t="shared" si="4"/>
        <v>39.76515995124665</v>
      </c>
      <c r="AE29" s="2">
        <f t="shared" si="2"/>
        <v>21.14951672870597</v>
      </c>
      <c r="AF29" s="2">
        <f t="shared" si="5"/>
        <v>65.0656842112198</v>
      </c>
      <c r="AG29" s="2">
        <f t="shared" si="6"/>
        <v>61.405319902493304</v>
      </c>
    </row>
    <row r="30" spans="1:33" s="2" customFormat="1" ht="12.75">
      <c r="A30" s="2">
        <f>A28+5*C$13</f>
        <v>140</v>
      </c>
      <c r="B30" s="2">
        <f>B$4*A30^2+B$5*A30^0.5</f>
        <v>7611.001748086121</v>
      </c>
      <c r="C30" s="2">
        <f>B30/A30</f>
        <v>54.364298200615146</v>
      </c>
      <c r="D30" s="2">
        <f>2*B$4*A30+0.5*B$5*A30^-0.5</f>
        <v>70.93214910030757</v>
      </c>
      <c r="AA30" s="3">
        <f t="shared" si="7"/>
        <v>33</v>
      </c>
      <c r="AB30" s="2">
        <f t="shared" si="0"/>
        <v>1939.5726771553504</v>
      </c>
      <c r="AC30" s="2">
        <f t="shared" si="1"/>
        <v>1983.708099827751</v>
      </c>
      <c r="AD30" s="2">
        <f t="shared" si="4"/>
        <v>39.6999648053841</v>
      </c>
      <c r="AE30" s="2">
        <f t="shared" si="2"/>
        <v>27.3862350981698</v>
      </c>
      <c r="AF30" s="2">
        <f t="shared" si="5"/>
        <v>60.112366661447</v>
      </c>
      <c r="AG30" s="2">
        <f t="shared" si="6"/>
        <v>58.7749296107682</v>
      </c>
    </row>
    <row r="31" spans="27:33" ht="15">
      <c r="AA31" s="1">
        <f t="shared" si="7"/>
        <v>37</v>
      </c>
      <c r="AB31">
        <f t="shared" si="0"/>
        <v>2098.737734498059</v>
      </c>
      <c r="AC31">
        <f t="shared" si="1"/>
        <v>2107.067706716232</v>
      </c>
      <c r="AD31">
        <f t="shared" si="4"/>
        <v>39.92382073646026</v>
      </c>
      <c r="AE31">
        <f t="shared" si="2"/>
        <v>34.42769132175799</v>
      </c>
      <c r="AF31">
        <f t="shared" si="5"/>
        <v>56.94777585719545</v>
      </c>
      <c r="AG31">
        <f t="shared" si="6"/>
        <v>56.722641472920515</v>
      </c>
    </row>
    <row r="32" spans="1:33" ht="15">
      <c r="A32" s="2" t="s">
        <v>27</v>
      </c>
      <c r="B32" s="2"/>
      <c r="C32" s="2"/>
      <c r="D32" s="2"/>
      <c r="E32" s="2"/>
      <c r="AA32" s="1">
        <f t="shared" si="7"/>
        <v>41</v>
      </c>
      <c r="AB32">
        <f t="shared" si="0"/>
        <v>2259.2511417701803</v>
      </c>
      <c r="AC32">
        <f t="shared" si="1"/>
        <v>2260.202614207314</v>
      </c>
      <c r="AD32">
        <f t="shared" si="4"/>
        <v>40.364343192319275</v>
      </c>
      <c r="AE32">
        <f t="shared" si="2"/>
        <v>42.27388539947055</v>
      </c>
      <c r="AF32">
        <f t="shared" si="5"/>
        <v>55.126893029446684</v>
      </c>
      <c r="AG32">
        <f t="shared" si="6"/>
        <v>55.10368638463855</v>
      </c>
    </row>
    <row r="33" spans="1:33" ht="15">
      <c r="A33" s="2" t="s">
        <v>28</v>
      </c>
      <c r="B33" s="2"/>
      <c r="C33" s="2"/>
      <c r="D33" s="2"/>
      <c r="E33" s="2"/>
      <c r="AA33" s="1">
        <f t="shared" si="7"/>
        <v>45</v>
      </c>
      <c r="AB33">
        <f t="shared" si="0"/>
        <v>2421.875</v>
      </c>
      <c r="AC33">
        <f t="shared" si="1"/>
        <v>2446.3317737174953</v>
      </c>
      <c r="AD33">
        <f t="shared" si="4"/>
        <v>40.97222222222222</v>
      </c>
      <c r="AE33">
        <f t="shared" si="2"/>
        <v>50.92481733130747</v>
      </c>
      <c r="AF33">
        <f t="shared" si="5"/>
        <v>54.36292830483323</v>
      </c>
      <c r="AG33">
        <f t="shared" si="6"/>
        <v>53.81944444444444</v>
      </c>
    </row>
    <row r="34" spans="27:33" ht="15">
      <c r="AA34" s="1">
        <f t="shared" si="7"/>
        <v>49</v>
      </c>
      <c r="AB34">
        <f t="shared" si="0"/>
        <v>2587.205112333137</v>
      </c>
      <c r="AC34">
        <f t="shared" si="1"/>
        <v>2668.674136663273</v>
      </c>
      <c r="AD34">
        <f t="shared" si="4"/>
        <v>41.712552166664665</v>
      </c>
      <c r="AE34">
        <f t="shared" si="2"/>
        <v>60.380487117268764</v>
      </c>
      <c r="AF34">
        <f t="shared" si="5"/>
        <v>54.46273748292394</v>
      </c>
      <c r="AG34">
        <f t="shared" si="6"/>
        <v>52.80010433332932</v>
      </c>
    </row>
    <row r="35" spans="27:33" ht="15">
      <c r="AA35" s="1">
        <f t="shared" si="7"/>
        <v>53</v>
      </c>
      <c r="AB35">
        <f aca="true" t="shared" si="8" ref="AB35:AB56">B$4*AA35^2+B$5*AA35^0.5</f>
        <v>2755.7177461466276</v>
      </c>
      <c r="AC35">
        <f aca="true" t="shared" si="9" ref="AC35:AC56">B$10*AA35^3+B$11</f>
        <v>2930.4486544611445</v>
      </c>
      <c r="AD35">
        <f t="shared" si="4"/>
        <v>42.559837227798376</v>
      </c>
      <c r="AE35">
        <f aca="true" t="shared" si="10" ref="AE35:AE56">3*B$10*AA35^2</f>
        <v>70.64089475735442</v>
      </c>
      <c r="AF35">
        <f t="shared" si="5"/>
        <v>55.29148404643669</v>
      </c>
      <c r="AG35">
        <f t="shared" si="6"/>
        <v>51.99467445559675</v>
      </c>
    </row>
    <row r="36" spans="27:33" ht="15">
      <c r="AA36" s="1">
        <f t="shared" si="7"/>
        <v>57</v>
      </c>
      <c r="AB36">
        <f t="shared" si="8"/>
        <v>2927.800735484551</v>
      </c>
      <c r="AC36">
        <f t="shared" si="9"/>
        <v>3234.874278527607</v>
      </c>
      <c r="AD36">
        <f aca="true" t="shared" si="11" ref="AD36:AD56">2*B$4*AA36+0.5*B$5*AA36^-0.5</f>
        <v>43.494962591969745</v>
      </c>
      <c r="AE36">
        <f t="shared" si="10"/>
        <v>81.70604025156445</v>
      </c>
      <c r="AF36">
        <f aca="true" t="shared" si="12" ref="AF36:AF56">B$10*AA36^2+B$11/AA36</f>
        <v>56.75218032504574</v>
      </c>
      <c r="AG36">
        <f aca="true" t="shared" si="13" ref="AG36:AG56">B$4*AA36+B$5*AA36^-0.5</f>
        <v>51.36492518393949</v>
      </c>
    </row>
    <row r="37" spans="27:33" ht="15">
      <c r="AA37" s="1">
        <f t="shared" si="7"/>
        <v>61</v>
      </c>
      <c r="AB37">
        <f t="shared" si="8"/>
        <v>3103.774892876397</v>
      </c>
      <c r="AC37">
        <f t="shared" si="9"/>
        <v>3585.1699602791596</v>
      </c>
      <c r="AD37">
        <f t="shared" si="11"/>
        <v>44.50327781046227</v>
      </c>
      <c r="AE37">
        <f t="shared" si="10"/>
        <v>93.57592359989883</v>
      </c>
      <c r="AF37">
        <f t="shared" si="12"/>
        <v>58.77327803736327</v>
      </c>
      <c r="AG37">
        <f t="shared" si="13"/>
        <v>50.881555620924544</v>
      </c>
    </row>
    <row r="38" spans="27:33" ht="15">
      <c r="AA38" s="1">
        <f t="shared" si="7"/>
        <v>65</v>
      </c>
      <c r="AB38">
        <f t="shared" si="8"/>
        <v>3283.909183642659</v>
      </c>
      <c r="AC38">
        <f t="shared" si="9"/>
        <v>3984.5546511322973</v>
      </c>
      <c r="AD38">
        <f t="shared" si="11"/>
        <v>45.57333987417431</v>
      </c>
      <c r="AE38">
        <f t="shared" si="10"/>
        <v>106.25054480235757</v>
      </c>
      <c r="AF38">
        <f t="shared" si="12"/>
        <v>61.300840786650724</v>
      </c>
      <c r="AG38">
        <f t="shared" si="13"/>
        <v>50.5216797483486</v>
      </c>
    </row>
    <row r="39" spans="27:33" ht="15">
      <c r="AA39" s="1">
        <f t="shared" si="7"/>
        <v>69</v>
      </c>
      <c r="AB39">
        <f t="shared" si="8"/>
        <v>3468.431749467561</v>
      </c>
      <c r="AC39">
        <f t="shared" si="9"/>
        <v>4436.24730250352</v>
      </c>
      <c r="AD39">
        <f t="shared" si="11"/>
        <v>46.696063401938844</v>
      </c>
      <c r="AE39">
        <f t="shared" si="10"/>
        <v>119.72990385894069</v>
      </c>
      <c r="AF39">
        <f t="shared" si="12"/>
        <v>64.29343916671766</v>
      </c>
      <c r="AG39">
        <f t="shared" si="13"/>
        <v>50.267126803877694</v>
      </c>
    </row>
    <row r="40" spans="27:33" ht="15">
      <c r="AA40" s="1">
        <f t="shared" si="7"/>
        <v>73</v>
      </c>
      <c r="AB40">
        <f t="shared" si="8"/>
        <v>3657.5380899390398</v>
      </c>
      <c r="AC40">
        <f t="shared" si="9"/>
        <v>4943.4668658093215</v>
      </c>
      <c r="AD40">
        <f t="shared" si="11"/>
        <v>47.864130753007124</v>
      </c>
      <c r="AE40">
        <f t="shared" si="10"/>
        <v>134.01400076964816</v>
      </c>
      <c r="AF40">
        <f t="shared" si="12"/>
        <v>67.7187241891688</v>
      </c>
      <c r="AG40">
        <f t="shared" si="13"/>
        <v>50.10326150601425</v>
      </c>
    </row>
    <row r="41" spans="27:33" ht="15">
      <c r="AA41" s="1">
        <f t="shared" si="7"/>
        <v>77</v>
      </c>
      <c r="AB41">
        <f t="shared" si="8"/>
        <v>3851.3972493798115</v>
      </c>
      <c r="AC41">
        <f t="shared" si="9"/>
        <v>5509.432292466203</v>
      </c>
      <c r="AD41">
        <f t="shared" si="11"/>
        <v>49.07157304792085</v>
      </c>
      <c r="AE41">
        <f t="shared" si="10"/>
        <v>149.10283553448002</v>
      </c>
      <c r="AF41">
        <f t="shared" si="12"/>
        <v>71.55106873332733</v>
      </c>
      <c r="AG41">
        <f t="shared" si="13"/>
        <v>50.0181460958417</v>
      </c>
    </row>
    <row r="42" spans="27:33" ht="15">
      <c r="AA42" s="1">
        <f t="shared" si="7"/>
        <v>81</v>
      </c>
      <c r="AB42">
        <f t="shared" si="8"/>
        <v>4050.1565729997474</v>
      </c>
      <c r="AC42">
        <f t="shared" si="9"/>
        <v>6137.36253389066</v>
      </c>
      <c r="AD42">
        <f t="shared" si="11"/>
        <v>50.31346649999844</v>
      </c>
      <c r="AE42">
        <f t="shared" si="10"/>
        <v>164.99640815343622</v>
      </c>
      <c r="AF42">
        <f t="shared" si="12"/>
        <v>75.76990782581063</v>
      </c>
      <c r="AG42">
        <f t="shared" si="13"/>
        <v>50.00193299999688</v>
      </c>
    </row>
    <row r="43" spans="27:33" ht="15">
      <c r="AA43" s="1">
        <f t="shared" si="7"/>
        <v>85</v>
      </c>
      <c r="AB43">
        <f t="shared" si="8"/>
        <v>4253.94541707844</v>
      </c>
      <c r="AC43">
        <f t="shared" si="9"/>
        <v>6830.4765414991925</v>
      </c>
      <c r="AD43">
        <f t="shared" si="11"/>
        <v>51.585708335755534</v>
      </c>
      <c r="AE43">
        <f t="shared" si="10"/>
        <v>181.6947186265168</v>
      </c>
      <c r="AF43">
        <f t="shared" si="12"/>
        <v>80.35854754704933</v>
      </c>
      <c r="AG43">
        <f t="shared" si="13"/>
        <v>50.04641667151106</v>
      </c>
    </row>
    <row r="44" spans="27:33" ht="15">
      <c r="AA44" s="1">
        <f t="shared" si="7"/>
        <v>89</v>
      </c>
      <c r="AB44">
        <f t="shared" si="8"/>
        <v>4462.878081297198</v>
      </c>
      <c r="AC44">
        <f t="shared" si="9"/>
        <v>7591.993266708294</v>
      </c>
      <c r="AD44">
        <f t="shared" si="11"/>
        <v>52.88484877133258</v>
      </c>
      <c r="AE44">
        <f t="shared" si="10"/>
        <v>199.19776695372173</v>
      </c>
      <c r="AF44">
        <f t="shared" si="12"/>
        <v>85.30329513155388</v>
      </c>
      <c r="AG44">
        <f t="shared" si="13"/>
        <v>50.14469754266515</v>
      </c>
    </row>
    <row r="45" spans="27:33" ht="15">
      <c r="AA45" s="1">
        <f t="shared" si="7"/>
        <v>93</v>
      </c>
      <c r="AB45">
        <f t="shared" si="8"/>
        <v>4677.056153713043</v>
      </c>
      <c r="AC45">
        <f t="shared" si="9"/>
        <v>8425.131660934465</v>
      </c>
      <c r="AD45">
        <f t="shared" si="11"/>
        <v>54.20796319200561</v>
      </c>
      <c r="AE45">
        <f t="shared" si="10"/>
        <v>217.50555313505103</v>
      </c>
      <c r="AF45">
        <f t="shared" si="12"/>
        <v>90.59281355843513</v>
      </c>
      <c r="AG45">
        <f t="shared" si="13"/>
        <v>50.290926384011215</v>
      </c>
    </row>
    <row r="46" spans="27:33" ht="15">
      <c r="AA46" s="1">
        <f t="shared" si="7"/>
        <v>97</v>
      </c>
      <c r="AB46">
        <f t="shared" si="8"/>
        <v>4896.5704060726985</v>
      </c>
      <c r="AC46">
        <f t="shared" si="9"/>
        <v>9333.110675594202</v>
      </c>
      <c r="AD46">
        <f t="shared" si="11"/>
        <v>55.55255363955</v>
      </c>
      <c r="AE46">
        <f t="shared" si="10"/>
        <v>236.6180771705047</v>
      </c>
      <c r="AF46">
        <f t="shared" si="12"/>
        <v>96.21763583086806</v>
      </c>
      <c r="AG46">
        <f t="shared" si="13"/>
        <v>50.48010727909999</v>
      </c>
    </row>
    <row r="47" spans="27:33" ht="15">
      <c r="AA47" s="1">
        <f t="shared" si="7"/>
        <v>101</v>
      </c>
      <c r="AB47">
        <f t="shared" si="8"/>
        <v>5121.502340565898</v>
      </c>
      <c r="AC47">
        <f t="shared" si="9"/>
        <v>10319.149262104002</v>
      </c>
      <c r="AD47">
        <f t="shared" si="11"/>
        <v>56.9164719829995</v>
      </c>
      <c r="AE47">
        <f t="shared" si="10"/>
        <v>256.5353390600827</v>
      </c>
      <c r="AF47">
        <f t="shared" si="12"/>
        <v>102.16979467429707</v>
      </c>
      <c r="AG47">
        <f t="shared" si="13"/>
        <v>50.707943965998986</v>
      </c>
    </row>
    <row r="48" spans="27:33" ht="15">
      <c r="AA48" s="1">
        <f t="shared" si="7"/>
        <v>105</v>
      </c>
      <c r="AB48">
        <f t="shared" si="8"/>
        <v>5351.925463303893</v>
      </c>
      <c r="AC48">
        <f t="shared" si="9"/>
        <v>11386.466371880362</v>
      </c>
      <c r="AD48">
        <f t="shared" si="11"/>
        <v>58.29785934906616</v>
      </c>
      <c r="AE48">
        <f t="shared" si="10"/>
        <v>277.25733880378516</v>
      </c>
      <c r="AF48">
        <f t="shared" si="12"/>
        <v>108.44253687505108</v>
      </c>
      <c r="AG48">
        <f t="shared" si="13"/>
        <v>50.970718698132316</v>
      </c>
    </row>
    <row r="49" spans="27:33" ht="15">
      <c r="AA49" s="1">
        <f t="shared" si="7"/>
        <v>109</v>
      </c>
      <c r="AB49">
        <f t="shared" si="8"/>
        <v>5587.906341314334</v>
      </c>
      <c r="AC49">
        <f t="shared" si="9"/>
        <v>12538.280956339782</v>
      </c>
      <c r="AD49">
        <f t="shared" si="11"/>
        <v>59.695097895937316</v>
      </c>
      <c r="AE49">
        <f t="shared" si="10"/>
        <v>298.7840764016119</v>
      </c>
      <c r="AF49">
        <f t="shared" si="12"/>
        <v>115.03010051687875</v>
      </c>
      <c r="AG49">
        <f t="shared" si="13"/>
        <v>51.26519579187462</v>
      </c>
    </row>
    <row r="50" spans="27:33" ht="15">
      <c r="AA50" s="1">
        <f t="shared" si="7"/>
        <v>113</v>
      </c>
      <c r="AB50">
        <f t="shared" si="8"/>
        <v>5829.505486401256</v>
      </c>
      <c r="AC50">
        <f t="shared" si="9"/>
        <v>13777.811966898757</v>
      </c>
      <c r="AD50">
        <f t="shared" si="11"/>
        <v>61.106772063722374</v>
      </c>
      <c r="AE50">
        <f t="shared" si="10"/>
        <v>321.11555185356303</v>
      </c>
      <c r="AF50">
        <f t="shared" si="12"/>
        <v>121.92753953007751</v>
      </c>
      <c r="AG50">
        <f t="shared" si="13"/>
        <v>51.58854412744475</v>
      </c>
    </row>
    <row r="51" spans="27:33" ht="15">
      <c r="AA51" s="1">
        <f t="shared" si="7"/>
        <v>117</v>
      </c>
      <c r="AB51">
        <f t="shared" si="8"/>
        <v>6076.778099319419</v>
      </c>
      <c r="AC51">
        <f t="shared" si="9"/>
        <v>15108.278354973785</v>
      </c>
      <c r="AD51">
        <f t="shared" si="11"/>
        <v>62.53163717657871</v>
      </c>
      <c r="AE51">
        <f t="shared" si="10"/>
        <v>344.2517651596385</v>
      </c>
      <c r="AF51">
        <f t="shared" si="12"/>
        <v>129.1305842305452</v>
      </c>
      <c r="AG51">
        <f t="shared" si="13"/>
        <v>51.93827435315743</v>
      </c>
    </row>
    <row r="52" spans="27:33" ht="15">
      <c r="AA52" s="1">
        <f t="shared" si="7"/>
        <v>121</v>
      </c>
      <c r="AB52">
        <f t="shared" si="8"/>
        <v>6329.774700333024</v>
      </c>
      <c r="AC52">
        <f t="shared" si="9"/>
        <v>16532.899071981366</v>
      </c>
      <c r="AD52">
        <f t="shared" si="11"/>
        <v>63.96859380302903</v>
      </c>
      <c r="AE52">
        <f t="shared" si="10"/>
        <v>368.1927163198384</v>
      </c>
      <c r="AF52">
        <f t="shared" si="12"/>
        <v>136.63552952050713</v>
      </c>
      <c r="AG52">
        <f t="shared" si="13"/>
        <v>52.31218760605806</v>
      </c>
    </row>
    <row r="53" spans="27:33" ht="15">
      <c r="AA53" s="1">
        <f t="shared" si="7"/>
        <v>125</v>
      </c>
      <c r="AB53">
        <f t="shared" si="8"/>
        <v>6588.541666666666</v>
      </c>
      <c r="AC53">
        <f t="shared" si="9"/>
        <v>18054.89306933799</v>
      </c>
      <c r="AD53">
        <f t="shared" si="11"/>
        <v>65.41666666666667</v>
      </c>
      <c r="AE53">
        <f t="shared" si="10"/>
        <v>392.9384053341626</v>
      </c>
      <c r="AF53">
        <f t="shared" si="12"/>
        <v>144.43914455470394</v>
      </c>
      <c r="AG53">
        <f t="shared" si="13"/>
        <v>52.70833333333333</v>
      </c>
    </row>
    <row r="54" spans="27:33" ht="15">
      <c r="AA54" s="1">
        <f t="shared" si="7"/>
        <v>129</v>
      </c>
      <c r="AB54">
        <f t="shared" si="8"/>
        <v>6853.121693120078</v>
      </c>
      <c r="AC54">
        <f t="shared" si="9"/>
        <v>19677.479298460166</v>
      </c>
      <c r="AD54">
        <f t="shared" si="11"/>
        <v>66.87498718263596</v>
      </c>
      <c r="AE54">
        <f t="shared" si="10"/>
        <v>418.4888322026112</v>
      </c>
      <c r="AF54">
        <f t="shared" si="12"/>
        <v>152.5385992128695</v>
      </c>
      <c r="AG54">
        <f t="shared" si="13"/>
        <v>53.124974365271925</v>
      </c>
    </row>
    <row r="55" spans="27:33" ht="15">
      <c r="AA55" s="1">
        <f t="shared" si="7"/>
        <v>133</v>
      </c>
      <c r="AB55">
        <f t="shared" si="8"/>
        <v>7123.5541888607</v>
      </c>
      <c r="AC55">
        <f t="shared" si="9"/>
        <v>21403.87671076438</v>
      </c>
      <c r="AD55">
        <f t="shared" si="11"/>
        <v>68.34277890549136</v>
      </c>
      <c r="AE55">
        <f t="shared" si="10"/>
        <v>444.8439969251842</v>
      </c>
      <c r="AF55">
        <f t="shared" si="12"/>
        <v>160.9314038403337</v>
      </c>
      <c r="AG55">
        <f t="shared" si="13"/>
        <v>53.56055781098271</v>
      </c>
    </row>
    <row r="56" spans="27:33" ht="15">
      <c r="AA56" s="1">
        <f t="shared" si="7"/>
        <v>137</v>
      </c>
      <c r="AB56">
        <f t="shared" si="8"/>
        <v>7399.875620880641</v>
      </c>
      <c r="AC56">
        <f t="shared" si="9"/>
        <v>23237.304257667136</v>
      </c>
      <c r="AD56">
        <f t="shared" si="11"/>
        <v>69.81934533168118</v>
      </c>
      <c r="AE56">
        <f t="shared" si="10"/>
        <v>472.0038995018815</v>
      </c>
      <c r="AF56">
        <f t="shared" si="12"/>
        <v>169.6153595450156</v>
      </c>
      <c r="AG56">
        <f t="shared" si="13"/>
        <v>54.01369066336234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Justin Neal Enterprises,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Neal</dc:creator>
  <cp:keywords/>
  <dc:description/>
  <cp:lastModifiedBy>Wilson Mixon</cp:lastModifiedBy>
  <cp:lastPrinted>2000-04-26T18:12:54Z</cp:lastPrinted>
  <dcterms:created xsi:type="dcterms:W3CDTF">1999-10-02T06:27:50Z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